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RMS\Bin\Fdinput\外部公開ファイル\公共\"/>
    </mc:Choice>
  </mc:AlternateContent>
  <xr:revisionPtr revIDLastSave="0" documentId="13_ncr:1_{E959A81F-AB2C-4F3B-816F-A55D09C3A255}" xr6:coauthVersionLast="47" xr6:coauthVersionMax="47" xr10:uidLastSave="{00000000-0000-0000-0000-000000000000}"/>
  <bookViews>
    <workbookView xWindow="2310" yWindow="1935" windowWidth="19905" windowHeight="12420" xr2:uid="{87A575EC-65CD-4B4F-8A0B-D90F27FC26FE}"/>
  </bookViews>
  <sheets>
    <sheet name="アンテナデータ" sheetId="4" r:id="rId1"/>
  </sheets>
  <definedNames>
    <definedName name="_xlnm.Print_Area" localSheetId="0">アンテナデータ!$A$1:$AE$36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7" i="4" l="1"/>
  <c r="AH21" i="4"/>
  <c r="AJ2" i="4"/>
  <c r="AJ16" i="4" s="1"/>
  <c r="AK2" i="4"/>
  <c r="AN2" i="4"/>
  <c r="AB6" i="4"/>
  <c r="AN1" i="4"/>
  <c r="AQ27" i="4"/>
  <c r="AH26" i="4"/>
  <c r="AQ26" i="4"/>
  <c r="AH25" i="4"/>
  <c r="AK25" i="4" s="1"/>
  <c r="AJ25" i="4"/>
  <c r="AL25" i="4" s="1"/>
  <c r="AQ25" i="4"/>
  <c r="AH24" i="4"/>
  <c r="AQ24" i="4"/>
  <c r="AH23" i="4"/>
  <c r="AQ23" i="4"/>
  <c r="AH22" i="4"/>
  <c r="AQ22" i="4"/>
  <c r="AQ21" i="4"/>
  <c r="AH20" i="4"/>
  <c r="AQ20" i="4"/>
  <c r="AH19" i="4"/>
  <c r="AQ19" i="4"/>
  <c r="AH18" i="4"/>
  <c r="AQ18" i="4"/>
  <c r="AH17" i="4"/>
  <c r="AQ17" i="4"/>
  <c r="AH16" i="4"/>
  <c r="AQ16" i="4"/>
  <c r="AH15" i="4"/>
  <c r="AQ15" i="4"/>
  <c r="AH14" i="4"/>
  <c r="AJ14" i="4"/>
  <c r="AQ14" i="4"/>
  <c r="AH13" i="4"/>
  <c r="AQ13" i="4"/>
  <c r="AH12" i="4"/>
  <c r="AK12" i="4" s="1"/>
  <c r="AQ12" i="4"/>
  <c r="AH11" i="4"/>
  <c r="AQ11" i="4"/>
  <c r="AH10" i="4"/>
  <c r="AJ10" i="4" s="1"/>
  <c r="AQ10" i="4"/>
  <c r="AH9" i="4"/>
  <c r="AJ9" i="4" s="1"/>
  <c r="AK9" i="4" s="1"/>
  <c r="AQ9" i="4"/>
  <c r="AH8" i="4"/>
  <c r="AJ8" i="4" s="1"/>
  <c r="AK8" i="4" s="1"/>
  <c r="AQ8" i="4"/>
  <c r="AH7" i="4"/>
  <c r="AQ7" i="4"/>
  <c r="AH6" i="4"/>
  <c r="AJ6" i="4" s="1"/>
  <c r="AQ6" i="4"/>
  <c r="AH5" i="4"/>
  <c r="AQ5" i="4"/>
  <c r="AH4" i="4"/>
  <c r="AQ4" i="4"/>
  <c r="AH3" i="4"/>
  <c r="AQ3" i="4"/>
  <c r="AP3" i="4"/>
  <c r="AP26" i="4"/>
  <c r="AX26" i="4" s="1"/>
  <c r="AW25" i="4"/>
  <c r="AT25" i="4" s="1"/>
  <c r="AP27" i="4"/>
  <c r="AP25" i="4"/>
  <c r="AX25" i="4" s="1"/>
  <c r="AW24" i="4"/>
  <c r="AP24" i="4"/>
  <c r="AP23" i="4"/>
  <c r="AP22" i="4"/>
  <c r="AW21" i="4" s="1"/>
  <c r="AP21" i="4"/>
  <c r="AP20" i="4"/>
  <c r="AP19" i="4"/>
  <c r="AP18" i="4"/>
  <c r="AP17" i="4"/>
  <c r="AW16" i="4" s="1"/>
  <c r="AP16" i="4"/>
  <c r="AX16" i="4" s="1"/>
  <c r="AP15" i="4"/>
  <c r="AX15" i="4" s="1"/>
  <c r="AP14" i="4"/>
  <c r="AP13" i="4"/>
  <c r="AP12" i="4"/>
  <c r="AX12" i="4" s="1"/>
  <c r="AP11" i="4"/>
  <c r="AP10" i="4"/>
  <c r="AW9" i="4" s="1"/>
  <c r="AP9" i="4"/>
  <c r="AP8" i="4"/>
  <c r="AP7" i="4"/>
  <c r="AW6" i="4" s="1"/>
  <c r="AP6" i="4"/>
  <c r="AW5" i="4" s="1"/>
  <c r="AP5" i="4"/>
  <c r="AP4" i="4"/>
  <c r="AX3" i="4" s="1"/>
  <c r="AW3" i="4"/>
  <c r="AW4" i="4"/>
  <c r="AW11" i="4"/>
  <c r="AW13" i="4"/>
  <c r="AW19" i="4"/>
  <c r="AW23" i="4"/>
  <c r="AX4" i="4"/>
  <c r="AJ17" i="4"/>
  <c r="AX27" i="4"/>
  <c r="AW26" i="4"/>
  <c r="AW15" i="4"/>
  <c r="AJ12" i="4"/>
  <c r="AP28" i="4"/>
  <c r="AW27" i="4" s="1"/>
  <c r="AT27" i="4" s="1"/>
  <c r="AX24" i="4"/>
  <c r="AT24" i="4"/>
  <c r="AU24" i="4" s="1"/>
  <c r="AV24" i="4" s="1"/>
  <c r="AJ7" i="4"/>
  <c r="AJ27" i="4"/>
  <c r="AR24" i="4"/>
  <c r="AS24" i="4" s="1"/>
  <c r="AK27" i="4"/>
  <c r="AL27" i="4" s="1"/>
  <c r="AR25" i="4" l="1"/>
  <c r="AS25" i="4" s="1"/>
  <c r="AU25" i="4"/>
  <c r="AV25" i="4" s="1"/>
  <c r="AT16" i="4"/>
  <c r="AM25" i="4"/>
  <c r="AN25" i="4" s="1"/>
  <c r="AI25" i="4" s="1"/>
  <c r="AG25" i="4" s="1"/>
  <c r="AL12" i="4"/>
  <c r="AL14" i="4"/>
  <c r="AT15" i="4"/>
  <c r="AT3" i="4"/>
  <c r="AK6" i="4"/>
  <c r="AL6" i="4" s="1"/>
  <c r="AK17" i="4"/>
  <c r="AX17" i="4"/>
  <c r="AX18" i="4"/>
  <c r="AK14" i="4"/>
  <c r="AJ19" i="4"/>
  <c r="AJ22" i="4"/>
  <c r="AK22" i="4" s="1"/>
  <c r="AL22" i="4" s="1"/>
  <c r="AJ18" i="4"/>
  <c r="AX5" i="4"/>
  <c r="AJ11" i="4"/>
  <c r="AJ24" i="4"/>
  <c r="AP29" i="4"/>
  <c r="AX22" i="4"/>
  <c r="AW17" i="4"/>
  <c r="AT4" i="4"/>
  <c r="AR4" i="4" s="1"/>
  <c r="AS4" i="4" s="1"/>
  <c r="AJ4" i="4"/>
  <c r="AL8" i="4"/>
  <c r="AU27" i="4"/>
  <c r="AV27" i="4" s="1"/>
  <c r="AR27" i="4"/>
  <c r="AS27" i="4" s="1"/>
  <c r="AL9" i="4"/>
  <c r="AM9" i="4"/>
  <c r="AU4" i="4"/>
  <c r="AV4" i="4" s="1"/>
  <c r="AT5" i="4"/>
  <c r="AW7" i="4"/>
  <c r="AX8" i="4"/>
  <c r="AX19" i="4"/>
  <c r="AW18" i="4"/>
  <c r="AT18" i="4" s="1"/>
  <c r="AW20" i="4"/>
  <c r="AX20" i="4"/>
  <c r="AX21" i="4"/>
  <c r="AT21" i="4" s="1"/>
  <c r="AX23" i="4"/>
  <c r="AT23" i="4" s="1"/>
  <c r="AW22" i="4"/>
  <c r="AJ23" i="4"/>
  <c r="AK16" i="4"/>
  <c r="AK11" i="4"/>
  <c r="AK10" i="4"/>
  <c r="AL10" i="4" s="1"/>
  <c r="AK18" i="4"/>
  <c r="AJ21" i="4"/>
  <c r="AM27" i="4"/>
  <c r="AN27" i="4" s="1"/>
  <c r="AK7" i="4"/>
  <c r="AX7" i="4"/>
  <c r="AT26" i="4"/>
  <c r="AT19" i="4"/>
  <c r="AX6" i="4"/>
  <c r="AT6" i="4" s="1"/>
  <c r="AW8" i="4"/>
  <c r="AX9" i="4"/>
  <c r="AT9" i="4" s="1"/>
  <c r="AX11" i="4"/>
  <c r="AT11" i="4" s="1"/>
  <c r="AW10" i="4"/>
  <c r="AX10" i="4"/>
  <c r="AW12" i="4"/>
  <c r="AT12" i="4" s="1"/>
  <c r="AX13" i="4"/>
  <c r="AT13" i="4" s="1"/>
  <c r="AW14" i="4"/>
  <c r="AX14" i="4"/>
  <c r="AJ3" i="4"/>
  <c r="AJ13" i="4"/>
  <c r="AK13" i="4" s="1"/>
  <c r="AJ5" i="4"/>
  <c r="AJ26" i="4"/>
  <c r="AJ15" i="4"/>
  <c r="AJ20" i="4"/>
  <c r="AU15" i="4" l="1"/>
  <c r="AV15" i="4" s="1"/>
  <c r="AR15" i="4"/>
  <c r="AS15" i="4" s="1"/>
  <c r="AK24" i="4"/>
  <c r="AM8" i="4"/>
  <c r="AN8" i="4" s="1"/>
  <c r="AI8" i="4" s="1"/>
  <c r="AG8" i="4" s="1"/>
  <c r="AT22" i="4"/>
  <c r="AR22" i="4" s="1"/>
  <c r="AS22" i="4" s="1"/>
  <c r="AT20" i="4"/>
  <c r="AR20" i="4" s="1"/>
  <c r="AS20" i="4" s="1"/>
  <c r="AT8" i="4"/>
  <c r="AR8" i="4" s="1"/>
  <c r="AS8" i="4" s="1"/>
  <c r="AN9" i="4"/>
  <c r="AM14" i="4"/>
  <c r="AK4" i="4"/>
  <c r="AK19" i="4"/>
  <c r="AT14" i="4"/>
  <c r="AT10" i="4"/>
  <c r="AR10" i="4" s="1"/>
  <c r="AS10" i="4" s="1"/>
  <c r="AT17" i="4"/>
  <c r="AU3" i="4"/>
  <c r="AV3" i="4" s="1"/>
  <c r="AR3" i="4"/>
  <c r="AS3" i="4" s="1"/>
  <c r="AM12" i="4"/>
  <c r="AN12" i="4" s="1"/>
  <c r="AI12" i="4" s="1"/>
  <c r="AG12" i="4" s="1"/>
  <c r="AR16" i="4"/>
  <c r="AS16" i="4" s="1"/>
  <c r="AU16" i="4"/>
  <c r="AV16" i="4" s="1"/>
  <c r="AL17" i="4"/>
  <c r="AU6" i="4"/>
  <c r="AV6" i="4" s="1"/>
  <c r="AR6" i="4"/>
  <c r="AS6" i="4" s="1"/>
  <c r="AR11" i="4"/>
  <c r="AS11" i="4" s="1"/>
  <c r="AU11" i="4"/>
  <c r="AV11" i="4" s="1"/>
  <c r="AU23" i="4"/>
  <c r="AV23" i="4" s="1"/>
  <c r="AR23" i="4"/>
  <c r="AS23" i="4" s="1"/>
  <c r="AK20" i="4"/>
  <c r="AL20" i="4"/>
  <c r="AK26" i="4"/>
  <c r="AK3" i="4"/>
  <c r="AL3" i="4" s="1"/>
  <c r="AU14" i="4"/>
  <c r="AV14" i="4" s="1"/>
  <c r="AR14" i="4"/>
  <c r="AS14" i="4" s="1"/>
  <c r="AU12" i="4"/>
  <c r="AV12" i="4" s="1"/>
  <c r="AR12" i="4"/>
  <c r="AS12" i="4" s="1"/>
  <c r="AU10" i="4"/>
  <c r="AV10" i="4" s="1"/>
  <c r="AR9" i="4"/>
  <c r="AS9" i="4" s="1"/>
  <c r="AU9" i="4"/>
  <c r="AV9" i="4" s="1"/>
  <c r="AK15" i="4"/>
  <c r="AK5" i="4"/>
  <c r="AL5" i="4" s="1"/>
  <c r="AL13" i="4"/>
  <c r="AM13" i="4" s="1"/>
  <c r="AM3" i="4"/>
  <c r="AU13" i="4"/>
  <c r="AV13" i="4" s="1"/>
  <c r="AR13" i="4"/>
  <c r="AS13" i="4" s="1"/>
  <c r="AU8" i="4"/>
  <c r="AV8" i="4" s="1"/>
  <c r="AR19" i="4"/>
  <c r="AS19" i="4" s="1"/>
  <c r="AU19" i="4"/>
  <c r="AV19" i="4" s="1"/>
  <c r="AM6" i="4"/>
  <c r="AN6" i="4"/>
  <c r="AI6" i="4" s="1"/>
  <c r="AG6" i="4" s="1"/>
  <c r="AL7" i="4"/>
  <c r="AL11" i="4"/>
  <c r="AM11" i="4"/>
  <c r="AM22" i="4"/>
  <c r="AU21" i="4"/>
  <c r="AV21" i="4" s="1"/>
  <c r="AR21" i="4"/>
  <c r="AS21" i="4" s="1"/>
  <c r="AT7" i="4"/>
  <c r="AI27" i="4"/>
  <c r="AG27" i="4" s="1"/>
  <c r="AR26" i="4"/>
  <c r="AS26" i="4" s="1"/>
  <c r="AU26" i="4"/>
  <c r="AV26" i="4" s="1"/>
  <c r="AM7" i="4"/>
  <c r="AK21" i="4"/>
  <c r="AL21" i="4" s="1"/>
  <c r="AM10" i="4"/>
  <c r="AN10" i="4" s="1"/>
  <c r="AI10" i="4" s="1"/>
  <c r="AG10" i="4" s="1"/>
  <c r="AL16" i="4"/>
  <c r="AM16" i="4"/>
  <c r="AN16" i="4" s="1"/>
  <c r="AK23" i="4"/>
  <c r="AL23" i="4" s="1"/>
  <c r="AU18" i="4"/>
  <c r="AV18" i="4" s="1"/>
  <c r="AR18" i="4"/>
  <c r="AS18" i="4" s="1"/>
  <c r="AU5" i="4"/>
  <c r="AV5" i="4" s="1"/>
  <c r="AR5" i="4"/>
  <c r="AS5" i="4" s="1"/>
  <c r="AL18" i="4"/>
  <c r="AM18" i="4" s="1"/>
  <c r="AI9" i="4"/>
  <c r="AG9" i="4" s="1"/>
  <c r="AI16" i="4" l="1"/>
  <c r="AG16" i="4" s="1"/>
  <c r="AI22" i="4"/>
  <c r="AG22" i="4" s="1"/>
  <c r="AM17" i="4"/>
  <c r="AN17" i="4" s="1"/>
  <c r="AN22" i="4"/>
  <c r="AI7" i="4"/>
  <c r="AG7" i="4" s="1"/>
  <c r="AN14" i="4"/>
  <c r="AI14" i="4" s="1"/>
  <c r="AG14" i="4" s="1"/>
  <c r="AL24" i="4"/>
  <c r="AM24" i="4" s="1"/>
  <c r="AN7" i="4"/>
  <c r="AU20" i="4"/>
  <c r="AV20" i="4" s="1"/>
  <c r="AU22" i="4"/>
  <c r="AV22" i="4" s="1"/>
  <c r="AN3" i="4"/>
  <c r="AI3" i="4" s="1"/>
  <c r="AG3" i="4" s="1"/>
  <c r="AL19" i="4"/>
  <c r="AM19" i="4" s="1"/>
  <c r="AU17" i="4"/>
  <c r="AV17" i="4" s="1"/>
  <c r="AR17" i="4"/>
  <c r="AS17" i="4" s="1"/>
  <c r="AL4" i="4"/>
  <c r="AM4" i="4" s="1"/>
  <c r="AR7" i="4"/>
  <c r="AS7" i="4" s="1"/>
  <c r="AU7" i="4"/>
  <c r="AV7" i="4" s="1"/>
  <c r="AN13" i="4"/>
  <c r="AI13" i="4" s="1"/>
  <c r="AG13" i="4" s="1"/>
  <c r="AM5" i="4"/>
  <c r="AL15" i="4"/>
  <c r="AM20" i="4"/>
  <c r="AN20" i="4" s="1"/>
  <c r="AI20" i="4" s="1"/>
  <c r="AG20" i="4" s="1"/>
  <c r="AM23" i="4"/>
  <c r="AN23" i="4" s="1"/>
  <c r="AM21" i="4"/>
  <c r="AN21" i="4" s="1"/>
  <c r="AN18" i="4"/>
  <c r="AI18" i="4" s="1"/>
  <c r="AG18" i="4" s="1"/>
  <c r="AN11" i="4"/>
  <c r="AI11" i="4" s="1"/>
  <c r="AG11" i="4" s="1"/>
  <c r="AL26" i="4"/>
  <c r="AN19" i="4" l="1"/>
  <c r="AI19" i="4" s="1"/>
  <c r="AG19" i="4" s="1"/>
  <c r="AN5" i="4"/>
  <c r="AI5" i="4" s="1"/>
  <c r="AG5" i="4" s="1"/>
  <c r="AQ29" i="4"/>
  <c r="AN24" i="4"/>
  <c r="AI24" i="4" s="1"/>
  <c r="AG24" i="4" s="1"/>
  <c r="AI21" i="4"/>
  <c r="AG21" i="4" s="1"/>
  <c r="AN4" i="4"/>
  <c r="AI4" i="4" s="1"/>
  <c r="AG4" i="4" s="1"/>
  <c r="AI17" i="4"/>
  <c r="AG17" i="4" s="1"/>
  <c r="AM26" i="4"/>
  <c r="AI23" i="4"/>
  <c r="AG23" i="4" s="1"/>
  <c r="AQ28" i="4"/>
  <c r="AM15" i="4"/>
  <c r="AN15" i="4" s="1"/>
  <c r="AN26" i="4"/>
  <c r="AI26" i="4" l="1"/>
  <c r="AG26" i="4" s="1"/>
  <c r="AI15" i="4"/>
  <c r="AG15" i="4" l="1"/>
  <c r="AI28" i="4"/>
  <c r="AI29" i="4" l="1"/>
  <c r="AI30" i="4"/>
  <c r="I3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arib0107</author>
  </authors>
  <commentList>
    <comment ref="K3" authorId="0" shapeId="0" xr:uid="{129A7447-A23E-4409-9045-3375D7059464}">
      <text>
        <r>
          <rPr>
            <b/>
            <sz val="9"/>
            <color indexed="81"/>
            <rFont val="ＭＳ Ｐゴシック"/>
            <family val="3"/>
            <charset val="128"/>
          </rPr>
          <t>0611（6.5GHz）
0711（7.5GHz）
1211（12GHz）
1811（18GHz）</t>
        </r>
      </text>
    </comment>
    <comment ref="P3" authorId="0" shapeId="0" xr:uid="{FBC3F3D6-CB1C-4F66-BE63-F9FF36CC0CB4}">
      <text>
        <r>
          <rPr>
            <b/>
            <sz val="9"/>
            <color indexed="81"/>
            <rFont val="ＭＳ Ｐゴシック"/>
            <family val="3"/>
            <charset val="128"/>
          </rPr>
          <t>0.1ｍ単位のアンテナ口径
数字3桁
020（2m）、030（3m）
040（4m）、009（90cm）など</t>
        </r>
      </text>
    </comment>
    <comment ref="J4" authorId="0" shapeId="0" xr:uid="{E0647809-CB01-4C7D-A21B-7F4599766384}">
      <text>
        <r>
          <rPr>
            <b/>
            <sz val="9"/>
            <color indexed="81"/>
            <rFont val="ＭＳ Ｐゴシック"/>
            <family val="3"/>
            <charset val="128"/>
          </rPr>
          <t>半角14字以内</t>
        </r>
      </text>
    </comment>
  </commentList>
</comments>
</file>

<file path=xl/sharedStrings.xml><?xml version="1.0" encoding="utf-8"?>
<sst xmlns="http://schemas.openxmlformats.org/spreadsheetml/2006/main" count="278" uniqueCount="52">
  <si>
    <t>水平面同偏波</t>
    <rPh sb="0" eb="3">
      <t>スイヘイメン</t>
    </rPh>
    <rPh sb="3" eb="4">
      <t>ドウ</t>
    </rPh>
    <rPh sb="4" eb="6">
      <t>ヘンパ</t>
    </rPh>
    <phoneticPr fontId="2"/>
  </si>
  <si>
    <t>アンテナ指向性減衰量</t>
    <rPh sb="4" eb="7">
      <t>シコウセイ</t>
    </rPh>
    <rPh sb="7" eb="9">
      <t>ゲンスイ</t>
    </rPh>
    <rPh sb="9" eb="10">
      <t>リョウ</t>
    </rPh>
    <phoneticPr fontId="2"/>
  </si>
  <si>
    <t>アンテナ指向性種別コード</t>
    <rPh sb="4" eb="7">
      <t>シコウセイ</t>
    </rPh>
    <rPh sb="7" eb="9">
      <t>シュベツ</t>
    </rPh>
    <phoneticPr fontId="2"/>
  </si>
  <si>
    <t>水平面異偏波</t>
    <rPh sb="0" eb="3">
      <t>スイヘイメン</t>
    </rPh>
    <rPh sb="3" eb="4">
      <t>イ</t>
    </rPh>
    <rPh sb="4" eb="6">
      <t>ヘンパ</t>
    </rPh>
    <phoneticPr fontId="2"/>
  </si>
  <si>
    <t>垂直面特性</t>
    <rPh sb="0" eb="2">
      <t>スイチョク</t>
    </rPh>
    <rPh sb="2" eb="3">
      <t>メン</t>
    </rPh>
    <rPh sb="3" eb="5">
      <t>トクセイ</t>
    </rPh>
    <phoneticPr fontId="2"/>
  </si>
  <si>
    <t>　角度</t>
    <rPh sb="1" eb="3">
      <t>カクド</t>
    </rPh>
    <phoneticPr fontId="2"/>
  </si>
  <si>
    <t>　角度</t>
    <rPh sb="1" eb="2">
      <t>カド</t>
    </rPh>
    <rPh sb="2" eb="3">
      <t>ド</t>
    </rPh>
    <phoneticPr fontId="2"/>
  </si>
  <si>
    <t>添     付     資     料</t>
    <rPh sb="0" eb="1">
      <t>ソウ</t>
    </rPh>
    <rPh sb="6" eb="7">
      <t>ヅケ</t>
    </rPh>
    <rPh sb="12" eb="13">
      <t>シ</t>
    </rPh>
    <rPh sb="18" eb="19">
      <t>リョウ</t>
    </rPh>
    <phoneticPr fontId="2"/>
  </si>
  <si>
    <t>（dB）</t>
  </si>
  <si>
    <t>アンテナ利得</t>
    <rPh sb="4" eb="5">
      <t>リ</t>
    </rPh>
    <rPh sb="5" eb="6">
      <t>トク</t>
    </rPh>
    <phoneticPr fontId="2"/>
  </si>
  <si>
    <t>レドーム損失</t>
    <rPh sb="4" eb="6">
      <t>ソンシツ</t>
    </rPh>
    <phoneticPr fontId="2"/>
  </si>
  <si>
    <t>半　値　角</t>
    <rPh sb="0" eb="1">
      <t>ハン</t>
    </rPh>
    <rPh sb="2" eb="3">
      <t>チ</t>
    </rPh>
    <rPh sb="4" eb="5">
      <t>カク</t>
    </rPh>
    <phoneticPr fontId="2"/>
  </si>
  <si>
    <t>枚</t>
    <rPh sb="0" eb="1">
      <t>マイ</t>
    </rPh>
    <phoneticPr fontId="2"/>
  </si>
  <si>
    <t>申込(年)</t>
    <rPh sb="0" eb="1">
      <t>モウ</t>
    </rPh>
    <rPh sb="1" eb="2">
      <t>コ</t>
    </rPh>
    <rPh sb="3" eb="4">
      <t>ドシ</t>
    </rPh>
    <phoneticPr fontId="2"/>
  </si>
  <si>
    <t>(月)</t>
    <rPh sb="1" eb="2">
      <t>ツキ</t>
    </rPh>
    <phoneticPr fontId="2"/>
  </si>
  <si>
    <t>アンテナデータ</t>
    <phoneticPr fontId="2"/>
  </si>
  <si>
    <t>（dB）</t>
    <phoneticPr fontId="2"/>
  </si>
  <si>
    <t>(°)</t>
    <phoneticPr fontId="2"/>
  </si>
  <si>
    <t>□</t>
    <phoneticPr fontId="2"/>
  </si>
  <si>
    <t>アンテナパターン図</t>
    <phoneticPr fontId="2"/>
  </si>
  <si>
    <t>No</t>
    <phoneticPr fontId="2"/>
  </si>
  <si>
    <t>（</t>
    <phoneticPr fontId="2"/>
  </si>
  <si>
    <t>）°（</t>
    <phoneticPr fontId="2"/>
  </si>
  <si>
    <t>）dB</t>
    <phoneticPr fontId="2"/>
  </si>
  <si>
    <t>　減衰量</t>
  </si>
  <si>
    <t>）</t>
  </si>
  <si>
    <t>（</t>
    <phoneticPr fontId="2"/>
  </si>
  <si>
    <t>　減衰量</t>
    <phoneticPr fontId="2"/>
  </si>
  <si>
    <t>　減衰量</t>
    <phoneticPr fontId="2"/>
  </si>
  <si>
    <t>）</t>
    <phoneticPr fontId="2"/>
  </si>
  <si>
    <t>7</t>
    <phoneticPr fontId="2"/>
  </si>
  <si>
    <t>1</t>
    <phoneticPr fontId="2"/>
  </si>
  <si>
    <t>角度</t>
    <rPh sb="0" eb="2">
      <t>カクド</t>
    </rPh>
    <phoneticPr fontId="2"/>
  </si>
  <si>
    <t>減衰量</t>
    <rPh sb="0" eb="2">
      <t>ゲンスイ</t>
    </rPh>
    <rPh sb="2" eb="3">
      <t>リョウ</t>
    </rPh>
    <phoneticPr fontId="2"/>
  </si>
  <si>
    <t>範囲Ｌ</t>
    <rPh sb="0" eb="2">
      <t>ハンイ</t>
    </rPh>
    <phoneticPr fontId="2"/>
  </si>
  <si>
    <t>範囲Ｈ</t>
    <rPh sb="0" eb="2">
      <t>ハンイ</t>
    </rPh>
    <phoneticPr fontId="2"/>
  </si>
  <si>
    <t>F/B判定</t>
    <rPh sb="3" eb="5">
      <t>ハンテイ</t>
    </rPh>
    <phoneticPr fontId="2"/>
  </si>
  <si>
    <t>F/B判定（128QAM使用可否）の補足</t>
    <rPh sb="3" eb="5">
      <t>ハンテイ</t>
    </rPh>
    <rPh sb="12" eb="14">
      <t>シヨウ</t>
    </rPh>
    <rPh sb="14" eb="16">
      <t>カヒ</t>
    </rPh>
    <rPh sb="18" eb="20">
      <t>ホソク</t>
    </rPh>
    <phoneticPr fontId="2"/>
  </si>
  <si>
    <t>免許人</t>
    <rPh sb="0" eb="2">
      <t>メンキョ</t>
    </rPh>
    <rPh sb="2" eb="3">
      <t>ニン</t>
    </rPh>
    <phoneticPr fontId="2"/>
  </si>
  <si>
    <t>アンテナARIB登録名</t>
    <rPh sb="8" eb="10">
      <t>トウロク</t>
    </rPh>
    <rPh sb="10" eb="11">
      <t>メイ</t>
    </rPh>
    <phoneticPr fontId="2"/>
  </si>
  <si>
    <t>メーカ型式</t>
    <rPh sb="3" eb="5">
      <t>カタシキ</t>
    </rPh>
    <phoneticPr fontId="2"/>
  </si>
  <si>
    <t>65dB逆算角度</t>
    <rPh sb="4" eb="6">
      <t>ギャクサン</t>
    </rPh>
    <rPh sb="6" eb="8">
      <t>カクド</t>
    </rPh>
    <phoneticPr fontId="2"/>
  </si>
  <si>
    <t>境界角度</t>
    <rPh sb="0" eb="2">
      <t>キョウカイ</t>
    </rPh>
    <rPh sb="2" eb="4">
      <t>カクド</t>
    </rPh>
    <phoneticPr fontId="2"/>
  </si>
  <si>
    <t>データ投入者</t>
    <rPh sb="3" eb="5">
      <t>トウニュウ</t>
    </rPh>
    <rPh sb="5" eb="6">
      <t>シャ</t>
    </rPh>
    <phoneticPr fontId="2"/>
  </si>
  <si>
    <t>メーカ</t>
    <phoneticPr fontId="2"/>
  </si>
  <si>
    <t>Ｆ／Ｂ特性の判定確認</t>
    <rPh sb="3" eb="5">
      <t>トクセイ</t>
    </rPh>
    <rPh sb="6" eb="8">
      <t>ハンテイ</t>
    </rPh>
    <rPh sb="8" eb="10">
      <t>カクニン</t>
    </rPh>
    <phoneticPr fontId="2"/>
  </si>
  <si>
    <t>参考</t>
    <rPh sb="0" eb="2">
      <t>サンコウ</t>
    </rPh>
    <phoneticPr fontId="2"/>
  </si>
  <si>
    <t>ﾏｰｼﾞﾝ</t>
    <phoneticPr fontId="2"/>
  </si>
  <si>
    <t>受信空中線特性の確認（簡易）</t>
    <rPh sb="0" eb="2">
      <t>ジュシン</t>
    </rPh>
    <rPh sb="2" eb="5">
      <t>クウチュウセン</t>
    </rPh>
    <rPh sb="5" eb="7">
      <t>トクセイ</t>
    </rPh>
    <rPh sb="8" eb="10">
      <t>カクニン</t>
    </rPh>
    <rPh sb="11" eb="13">
      <t>カンイ</t>
    </rPh>
    <phoneticPr fontId="2"/>
  </si>
  <si>
    <t>NG</t>
    <phoneticPr fontId="2"/>
  </si>
  <si>
    <t>f(MHz)</t>
    <phoneticPr fontId="2"/>
  </si>
  <si>
    <t>開口能率</t>
    <rPh sb="0" eb="2">
      <t>カイコウ</t>
    </rPh>
    <rPh sb="2" eb="4">
      <t>ノウリツ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</si>
</sst>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;&quot;▲ &quot;0.0"/>
    <numFmt numFmtId="178" formatCode="General&quot;°未満&quot;"/>
    <numFmt numFmtId="179" formatCode="General&quot;°以上&quot;"/>
    <numFmt numFmtId="180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176" fontId="3" fillId="2" borderId="3" xfId="0" applyNumberFormat="1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2" xfId="0" applyFont="1" applyFill="1" applyBorder="1" applyAlignment="1" applyProtection="1">
      <alignment vertical="center"/>
    </xf>
    <xf numFmtId="176" fontId="3" fillId="2" borderId="3" xfId="0" applyNumberFormat="1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176" fontId="3" fillId="2" borderId="13" xfId="0" applyNumberFormat="1" applyFont="1" applyFill="1" applyBorder="1" applyAlignment="1" applyProtection="1">
      <alignment vertical="center"/>
    </xf>
    <xf numFmtId="0" fontId="3" fillId="2" borderId="23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176" fontId="3" fillId="2" borderId="15" xfId="0" applyNumberFormat="1" applyFont="1" applyFill="1" applyBorder="1" applyAlignment="1" applyProtection="1">
      <alignment vertical="center"/>
    </xf>
    <xf numFmtId="0" fontId="3" fillId="2" borderId="2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0" borderId="28" xfId="0" applyFont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7" fontId="3" fillId="0" borderId="28" xfId="0" applyNumberFormat="1" applyFont="1" applyBorder="1" applyAlignment="1">
      <alignment vertical="center"/>
    </xf>
    <xf numFmtId="178" fontId="3" fillId="0" borderId="28" xfId="0" applyNumberFormat="1" applyFont="1" applyBorder="1" applyAlignment="1">
      <alignment vertical="center"/>
    </xf>
    <xf numFmtId="179" fontId="3" fillId="0" borderId="28" xfId="0" applyNumberFormat="1" applyFont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176" fontId="3" fillId="2" borderId="3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76" fontId="3" fillId="0" borderId="3" xfId="0" quotePrefix="1" applyNumberFormat="1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right" vertical="center"/>
    </xf>
    <xf numFmtId="176" fontId="3" fillId="2" borderId="4" xfId="0" applyNumberFormat="1" applyFont="1" applyFill="1" applyBorder="1" applyAlignment="1" applyProtection="1">
      <alignment horizontal="right" vertical="center"/>
    </xf>
    <xf numFmtId="176" fontId="3" fillId="2" borderId="3" xfId="0" applyNumberFormat="1" applyFont="1" applyFill="1" applyBorder="1" applyAlignment="1" applyProtection="1">
      <alignment horizontal="right" vertical="center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</xf>
    <xf numFmtId="180" fontId="3" fillId="2" borderId="33" xfId="1" applyNumberFormat="1" applyFont="1" applyFill="1" applyBorder="1" applyAlignment="1">
      <alignment horizontal="center" vertical="center"/>
    </xf>
    <xf numFmtId="180" fontId="3" fillId="2" borderId="26" xfId="1" applyNumberFormat="1" applyFont="1" applyFill="1" applyBorder="1" applyAlignment="1">
      <alignment horizontal="center" vertical="center"/>
    </xf>
    <xf numFmtId="180" fontId="3" fillId="2" borderId="27" xfId="1" applyNumberFormat="1" applyFont="1" applyFill="1" applyBorder="1" applyAlignment="1">
      <alignment horizontal="center" vertical="center"/>
    </xf>
    <xf numFmtId="176" fontId="3" fillId="0" borderId="4" xfId="0" quotePrefix="1" applyNumberFormat="1" applyFont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vertical="center"/>
    </xf>
    <xf numFmtId="176" fontId="3" fillId="0" borderId="13" xfId="0" quotePrefix="1" applyNumberFormat="1" applyFont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 applyProtection="1">
      <alignment horizontal="center" vertical="center"/>
      <protection locked="0"/>
    </xf>
    <xf numFmtId="176" fontId="3" fillId="0" borderId="32" xfId="0" quotePrefix="1" applyNumberFormat="1" applyFont="1" applyBorder="1" applyAlignment="1" applyProtection="1">
      <alignment horizontal="center" vertical="center"/>
      <protection locked="0"/>
    </xf>
    <xf numFmtId="176" fontId="3" fillId="0" borderId="3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76" fontId="3" fillId="0" borderId="4" xfId="0" quotePrefix="1" applyNumberFormat="1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3" fillId="6" borderId="26" xfId="0" quotePrefix="1" applyNumberFormat="1" applyFont="1" applyFill="1" applyBorder="1" applyAlignment="1" applyProtection="1">
      <alignment horizontal="center" vertical="center"/>
    </xf>
    <xf numFmtId="176" fontId="3" fillId="6" borderId="26" xfId="0" applyNumberFormat="1" applyFont="1" applyFill="1" applyBorder="1" applyAlignment="1" applyProtection="1">
      <alignment horizontal="center" vertical="center"/>
    </xf>
    <xf numFmtId="176" fontId="3" fillId="0" borderId="26" xfId="0" quotePrefix="1" applyNumberFormat="1" applyFont="1" applyBorder="1" applyAlignment="1" applyProtection="1">
      <alignment horizontal="center" vertical="center"/>
      <protection locked="0"/>
    </xf>
    <xf numFmtId="176" fontId="3" fillId="0" borderId="26" xfId="0" applyNumberFormat="1" applyFont="1" applyBorder="1" applyAlignment="1" applyProtection="1">
      <alignment horizontal="center" vertical="center"/>
      <protection locked="0"/>
    </xf>
    <xf numFmtId="176" fontId="3" fillId="2" borderId="26" xfId="0" applyNumberFormat="1" applyFont="1" applyFill="1" applyBorder="1" applyAlignment="1" applyProtection="1">
      <alignment horizontal="center" vertical="center"/>
    </xf>
    <xf numFmtId="176" fontId="3" fillId="2" borderId="13" xfId="0" applyNumberFormat="1" applyFont="1" applyFill="1" applyBorder="1" applyAlignment="1" applyProtection="1">
      <alignment horizontal="center" vertical="center"/>
    </xf>
    <xf numFmtId="176" fontId="3" fillId="2" borderId="3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3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shrinkToFit="1"/>
      <protection locked="0"/>
    </xf>
    <xf numFmtId="0" fontId="3" fillId="5" borderId="6" xfId="0" applyFont="1" applyFill="1" applyBorder="1" applyAlignment="1" applyProtection="1">
      <alignment horizontal="center" vertical="center" shrinkToFit="1"/>
      <protection locked="0"/>
    </xf>
  </cellXfs>
  <cellStyles count="2">
    <cellStyle name="パーセント" xfId="1" builtinId="5"/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2B7E-C4D3-44DC-84EB-333493CA0E7A}">
  <dimension ref="A1:AX37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4.25" style="1" customWidth="1"/>
    <col min="2" max="2" width="2.5" style="1" customWidth="1"/>
    <col min="3" max="4" width="3.125" style="1" customWidth="1"/>
    <col min="5" max="7" width="2.5" style="1" customWidth="1"/>
    <col min="8" max="9" width="3.125" style="1" customWidth="1"/>
    <col min="10" max="11" width="2.5" style="1" customWidth="1"/>
    <col min="12" max="12" width="2.5" style="1" bestFit="1" customWidth="1"/>
    <col min="13" max="14" width="3.125" style="1" customWidth="1"/>
    <col min="15" max="17" width="2.5" style="1" customWidth="1"/>
    <col min="18" max="19" width="3.125" style="1" customWidth="1"/>
    <col min="20" max="21" width="2.5" style="1" customWidth="1"/>
    <col min="22" max="22" width="2.5" style="1" bestFit="1" customWidth="1"/>
    <col min="23" max="24" width="3.125" style="1" customWidth="1"/>
    <col min="25" max="27" width="2.5" style="1" customWidth="1"/>
    <col min="28" max="29" width="3.125" style="1" customWidth="1"/>
    <col min="30" max="32" width="2.5" style="1" customWidth="1"/>
    <col min="33" max="33" width="3.5" style="1" bestFit="1" customWidth="1"/>
    <col min="34" max="34" width="7" style="1" customWidth="1"/>
    <col min="35" max="35" width="6.75" style="1" customWidth="1"/>
    <col min="36" max="36" width="10.5" style="1" customWidth="1"/>
    <col min="37" max="38" width="9.5" style="1" bestFit="1" customWidth="1"/>
    <col min="39" max="40" width="10.5" style="1" bestFit="1" customWidth="1"/>
    <col min="41" max="41" width="2.5" style="1" customWidth="1"/>
    <col min="42" max="42" width="7.75" style="1" customWidth="1"/>
    <col min="43" max="43" width="9" style="1"/>
    <col min="44" max="44" width="8.5" style="1" bestFit="1" customWidth="1"/>
    <col min="45" max="45" width="42.75" style="1" bestFit="1" customWidth="1"/>
    <col min="46" max="46" width="13.875" style="1" bestFit="1" customWidth="1"/>
    <col min="47" max="47" width="9.5" style="1" bestFit="1" customWidth="1"/>
    <col min="48" max="16384" width="9" style="1"/>
  </cols>
  <sheetData>
    <row r="1" spans="1:50" ht="18" thickBot="1" x14ac:dyDescent="0.2">
      <c r="M1" s="2" t="s">
        <v>15</v>
      </c>
      <c r="N1" s="2"/>
      <c r="AH1" s="62" t="s">
        <v>48</v>
      </c>
      <c r="AM1" s="50" t="s">
        <v>50</v>
      </c>
      <c r="AN1" s="1" t="str">
        <f>IF(K3="","",IF(K3="0611",6700,IF(K3="0711",7600,IF(K3="1211",12330,IF(K3="1811",18210,"")))))</f>
        <v/>
      </c>
      <c r="AP1" s="62" t="s">
        <v>45</v>
      </c>
      <c r="AU1" s="61" t="s">
        <v>46</v>
      </c>
    </row>
    <row r="2" spans="1:50" ht="23.1" customHeight="1" x14ac:dyDescent="0.15">
      <c r="A2" s="137" t="s">
        <v>43</v>
      </c>
      <c r="B2" s="138"/>
      <c r="C2" s="138"/>
      <c r="D2" s="139"/>
      <c r="E2" s="67"/>
      <c r="F2" s="68"/>
      <c r="G2" s="68"/>
      <c r="H2" s="68"/>
      <c r="I2" s="68"/>
      <c r="J2" s="68"/>
      <c r="K2" s="69"/>
      <c r="L2" s="74" t="s">
        <v>13</v>
      </c>
      <c r="M2" s="75"/>
      <c r="N2" s="76"/>
      <c r="O2" s="72"/>
      <c r="P2" s="113"/>
      <c r="Q2" s="73"/>
      <c r="R2" s="74" t="s">
        <v>14</v>
      </c>
      <c r="S2" s="76"/>
      <c r="T2" s="72"/>
      <c r="U2" s="73"/>
      <c r="V2" s="74" t="s">
        <v>44</v>
      </c>
      <c r="W2" s="75"/>
      <c r="X2" s="76"/>
      <c r="Y2" s="111"/>
      <c r="Z2" s="111"/>
      <c r="AA2" s="111"/>
      <c r="AB2" s="111"/>
      <c r="AC2" s="111"/>
      <c r="AD2" s="111"/>
      <c r="AE2" s="112"/>
      <c r="AG2" s="46" t="s">
        <v>49</v>
      </c>
      <c r="AH2" s="51" t="s">
        <v>32</v>
      </c>
      <c r="AI2" s="46" t="s">
        <v>47</v>
      </c>
      <c r="AJ2" s="65">
        <f>IF($K$3="1211",2.5,4)</f>
        <v>4</v>
      </c>
      <c r="AK2" s="65">
        <f>IF($K$3="1211",48,40)</f>
        <v>40</v>
      </c>
      <c r="AL2" s="65">
        <v>90</v>
      </c>
      <c r="AM2" s="65">
        <v>110</v>
      </c>
      <c r="AN2" s="66">
        <f>AM2</f>
        <v>110</v>
      </c>
      <c r="AP2" s="51" t="s">
        <v>32</v>
      </c>
      <c r="AQ2" s="51" t="s">
        <v>33</v>
      </c>
      <c r="AR2" s="55" t="s">
        <v>36</v>
      </c>
      <c r="AS2" s="56" t="s">
        <v>37</v>
      </c>
      <c r="AT2" s="57" t="s">
        <v>41</v>
      </c>
      <c r="AU2" s="58" t="s">
        <v>42</v>
      </c>
      <c r="AV2" s="59" t="s">
        <v>33</v>
      </c>
      <c r="AW2" s="60" t="s">
        <v>34</v>
      </c>
      <c r="AX2" s="51" t="s">
        <v>35</v>
      </c>
    </row>
    <row r="3" spans="1:50" ht="21.75" customHeight="1" x14ac:dyDescent="0.15">
      <c r="A3" s="83" t="s">
        <v>2</v>
      </c>
      <c r="B3" s="79"/>
      <c r="C3" s="79"/>
      <c r="D3" s="79"/>
      <c r="E3" s="79"/>
      <c r="F3" s="79"/>
      <c r="G3" s="79"/>
      <c r="H3" s="79"/>
      <c r="I3" s="84"/>
      <c r="J3" s="43" t="s">
        <v>26</v>
      </c>
      <c r="K3" s="81"/>
      <c r="L3" s="81"/>
      <c r="M3" s="81"/>
      <c r="N3" s="44" t="s">
        <v>25</v>
      </c>
      <c r="O3" s="48" t="s">
        <v>30</v>
      </c>
      <c r="P3" s="120"/>
      <c r="Q3" s="120"/>
      <c r="R3" s="120"/>
      <c r="S3" s="45" t="s">
        <v>26</v>
      </c>
      <c r="T3" s="70"/>
      <c r="U3" s="70"/>
      <c r="V3" s="49" t="s">
        <v>31</v>
      </c>
      <c r="W3" s="31" t="s">
        <v>29</v>
      </c>
      <c r="X3" s="114" t="s">
        <v>38</v>
      </c>
      <c r="Y3" s="115"/>
      <c r="Z3" s="115"/>
      <c r="AA3" s="116"/>
      <c r="AB3" s="117"/>
      <c r="AC3" s="118"/>
      <c r="AD3" s="118"/>
      <c r="AE3" s="119"/>
      <c r="AG3" s="46" t="str">
        <f t="shared" ref="AG3:AG27" si="0">IF(AI3&lt;0,-1,"")</f>
        <v/>
      </c>
      <c r="AH3" s="47">
        <f>C11</f>
        <v>0</v>
      </c>
      <c r="AI3" s="64">
        <f t="shared" ref="AI3:AI27" si="1">SUM(AJ3:AN3)-($E$5-AQ3)</f>
        <v>48</v>
      </c>
      <c r="AJ3" s="46">
        <f>IF(AH3&lt;AJ$2,IF($K$3="1211",53.3-3.89*AH3^2,48-1.28*AH3^2),"")</f>
        <v>48</v>
      </c>
      <c r="AK3" s="46" t="str">
        <f>IF(AND($AH3&lt;AK$2,COUNT($AJ3:AJ3)=0),IF($K$3="1211",38-22.5*LOG10(AH3),44-27.5*LOG10(AH3)),"")</f>
        <v/>
      </c>
      <c r="AL3" s="46" t="str">
        <f>IF(AND($AH3&lt;AL$2,COUNT($AJ3:AK3)=0),0,"")</f>
        <v/>
      </c>
      <c r="AM3" s="46" t="str">
        <f>IF(AND($AH3&lt;AM$2,COUNT($AJ3:AL3)=0),IF($K$3="1211",67.5-0.75*AH3,58.5-0.65*AH3),"")</f>
        <v/>
      </c>
      <c r="AN3" s="46" t="str">
        <f>IF(AND($AH3&gt;=AN$2,COUNT($AJ3:AM3)=0),IF($K$3="1211",-13,-15),"")</f>
        <v/>
      </c>
      <c r="AP3" s="47">
        <f>C11</f>
        <v>0</v>
      </c>
      <c r="AQ3" s="47">
        <f t="shared" ref="AQ3:AQ27" si="2">H11</f>
        <v>0</v>
      </c>
      <c r="AR3" s="53" t="str">
        <f>IF(AT3="","",IF(AND(AT3&gt;=110,AT3&lt;=170,AT3&gt;=AW3,AT3&lt;=AX3),"NG2",IF(AND(AQ3&lt;65,AQ4&lt;65),"NG1","OK")))</f>
        <v/>
      </c>
      <c r="AS3" s="52" t="str">
        <f t="shared" ref="AS3:AS27" si="3">IF(AR3="","",IF(AR3="NG2",AT3&amp;"度を境に65dB以下となる",IF(AR3="NG1","65dB以下",MAX(AW3,110)&amp;"度～"&amp;MIN(AX3,170)&amp;"度の間では65dB以上")))</f>
        <v/>
      </c>
      <c r="AT3" s="54" t="str">
        <f>IF(AND(AW3&lt;&gt;"",AX3&lt;&gt;""),IF(ISERROR(FORECAST(65,AP3:AP4,AQ3:AQ4)),0,FORECAST(65,AP3:AP4,AQ3:AQ4)),"")</f>
        <v/>
      </c>
      <c r="AU3" s="53" t="str">
        <f t="shared" ref="AU3:AU27" si="4">IF(AT3&lt;&gt;"",IF(AW3&lt;=110,110,IF(AX3&gt;=170,170,"")),"")</f>
        <v/>
      </c>
      <c r="AV3" s="52" t="str">
        <f t="shared" ref="AV3:AV26" si="5">IF(AU3="","",FORECAST(AU3,AQ3:AQ4,AP3:AP4))</f>
        <v/>
      </c>
      <c r="AW3" s="53" t="str">
        <f t="shared" ref="AW3:AW27" si="6">IF(AP4&gt;110,AP3,"")</f>
        <v/>
      </c>
      <c r="AX3" s="46">
        <f t="shared" ref="AX3:AX27" si="7">IF(AP3&lt;170,AP4,"")</f>
        <v>0</v>
      </c>
    </row>
    <row r="4" spans="1:50" ht="23.1" customHeight="1" x14ac:dyDescent="0.15">
      <c r="A4" s="83" t="s">
        <v>39</v>
      </c>
      <c r="B4" s="79"/>
      <c r="C4" s="79"/>
      <c r="D4" s="79"/>
      <c r="E4" s="79"/>
      <c r="F4" s="79"/>
      <c r="G4" s="79"/>
      <c r="H4" s="79"/>
      <c r="I4" s="84"/>
      <c r="J4" s="125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14" t="s">
        <v>40</v>
      </c>
      <c r="V4" s="115"/>
      <c r="W4" s="115"/>
      <c r="X4" s="116"/>
      <c r="Y4" s="140"/>
      <c r="Z4" s="140"/>
      <c r="AA4" s="140"/>
      <c r="AB4" s="140"/>
      <c r="AC4" s="140"/>
      <c r="AD4" s="140"/>
      <c r="AE4" s="141"/>
      <c r="AG4" s="46" t="str">
        <f t="shared" si="0"/>
        <v/>
      </c>
      <c r="AH4" s="47">
        <f t="shared" ref="AH4:AH27" si="8">C12</f>
        <v>0</v>
      </c>
      <c r="AI4" s="64">
        <f t="shared" si="1"/>
        <v>48</v>
      </c>
      <c r="AJ4" s="46">
        <f t="shared" ref="AJ4:AJ27" si="9">IF(AH4&lt;AJ$2,IF($K$3="1211",53.3-3.89*AH4^2,48-1.28*AH4^2),"")</f>
        <v>48</v>
      </c>
      <c r="AK4" s="46" t="str">
        <f>IF(AND($AH4&lt;AK$2,COUNT($AJ4:AJ4)=0),IF($K$3="1211",38-22.5*LOG10(AH4),44-27.5*LOG10(AH4)),"")</f>
        <v/>
      </c>
      <c r="AL4" s="46" t="str">
        <f>IF(AND($AH4&lt;AL$2,COUNT($AJ4:AK4)=0),0,"")</f>
        <v/>
      </c>
      <c r="AM4" s="46" t="str">
        <f>IF(AND($AH4&lt;AM$2,COUNT($AJ4:AL4)=0),IF($K$3="1211",67.5-0.75*AH4,58.5-0.65*AH4),"")</f>
        <v/>
      </c>
      <c r="AN4" s="46" t="str">
        <f>IF(AND($AH4&gt;=AN$2,COUNT($AJ4:AM4)=0),IF($K$3="1211",-13,-15),"")</f>
        <v/>
      </c>
      <c r="AP4" s="47">
        <f t="shared" ref="AP4:AP27" si="10">C12</f>
        <v>0</v>
      </c>
      <c r="AQ4" s="47">
        <f t="shared" si="2"/>
        <v>0</v>
      </c>
      <c r="AR4" s="53" t="str">
        <f>IF(AT4="","",IF(AND(AT4&gt;=110,AT4&lt;=170,AT4&gt;=AW4,AT4&lt;=AX4),"NG2",IF(AND(AQ4&lt;65,AQ5&lt;65),"NG1","OK")))</f>
        <v/>
      </c>
      <c r="AS4" s="52" t="str">
        <f t="shared" si="3"/>
        <v/>
      </c>
      <c r="AT4" s="54" t="str">
        <f t="shared" ref="AT4:AT27" si="11">IF(AND(AW4&lt;&gt;"",AX4&lt;&gt;""),IF(ISERROR(FORECAST(65,AP4:AP5,AQ4:AQ5)),0,FORECAST(65,AP4:AP5,AQ4:AQ5)),"")</f>
        <v/>
      </c>
      <c r="AU4" s="53" t="str">
        <f t="shared" si="4"/>
        <v/>
      </c>
      <c r="AV4" s="52" t="str">
        <f t="shared" si="5"/>
        <v/>
      </c>
      <c r="AW4" s="53" t="str">
        <f t="shared" si="6"/>
        <v/>
      </c>
      <c r="AX4" s="46">
        <f t="shared" si="7"/>
        <v>0</v>
      </c>
    </row>
    <row r="5" spans="1:50" ht="23.1" customHeight="1" x14ac:dyDescent="0.15">
      <c r="A5" s="83" t="s">
        <v>9</v>
      </c>
      <c r="B5" s="79"/>
      <c r="C5" s="79"/>
      <c r="D5" s="84"/>
      <c r="E5" s="105"/>
      <c r="F5" s="90"/>
      <c r="G5" s="90"/>
      <c r="H5" s="7" t="s">
        <v>16</v>
      </c>
      <c r="I5" s="7"/>
      <c r="J5" s="78" t="s">
        <v>10</v>
      </c>
      <c r="K5" s="79"/>
      <c r="L5" s="79"/>
      <c r="M5" s="79"/>
      <c r="N5" s="84"/>
      <c r="O5" s="95">
        <v>0</v>
      </c>
      <c r="P5" s="96"/>
      <c r="Q5" s="96"/>
      <c r="R5" s="7" t="s">
        <v>8</v>
      </c>
      <c r="S5" s="7"/>
      <c r="T5" s="78" t="s">
        <v>11</v>
      </c>
      <c r="U5" s="79"/>
      <c r="V5" s="79"/>
      <c r="W5" s="79"/>
      <c r="X5" s="79"/>
      <c r="Y5" s="123"/>
      <c r="Z5" s="124"/>
      <c r="AA5" s="124"/>
      <c r="AB5" s="121" t="s">
        <v>17</v>
      </c>
      <c r="AC5" s="121"/>
      <c r="AD5" s="121"/>
      <c r="AE5" s="122"/>
      <c r="AG5" s="46" t="str">
        <f t="shared" si="0"/>
        <v/>
      </c>
      <c r="AH5" s="47">
        <f t="shared" si="8"/>
        <v>0</v>
      </c>
      <c r="AI5" s="64">
        <f t="shared" si="1"/>
        <v>48</v>
      </c>
      <c r="AJ5" s="46">
        <f t="shared" si="9"/>
        <v>48</v>
      </c>
      <c r="AK5" s="46" t="str">
        <f>IF(AND($AH5&lt;AK$2,COUNT($AJ5:AJ5)=0),IF($K$3="1211",38-22.5*LOG10(AH5),44-27.5*LOG10(AH5)),"")</f>
        <v/>
      </c>
      <c r="AL5" s="46" t="str">
        <f>IF(AND($AH5&lt;AL$2,COUNT($AJ5:AK5)=0),0,"")</f>
        <v/>
      </c>
      <c r="AM5" s="46" t="str">
        <f>IF(AND($AH5&lt;AM$2,COUNT($AJ5:AL5)=0),IF($K$3="1211",67.5-0.75*AH5,58.5-0.65*AH5),"")</f>
        <v/>
      </c>
      <c r="AN5" s="46" t="str">
        <f>IF(AND($AH5&gt;=AN$2,COUNT($AJ5:AM5)=0),IF($K$3="1211",-13,-15),"")</f>
        <v/>
      </c>
      <c r="AP5" s="47">
        <f t="shared" si="10"/>
        <v>0</v>
      </c>
      <c r="AQ5" s="47">
        <f t="shared" si="2"/>
        <v>0</v>
      </c>
      <c r="AR5" s="53" t="str">
        <f t="shared" ref="AR5:AR27" si="12">IF(AT5="","",IF(AND(AT5&gt;=110,AT5&lt;=170,AT5&gt;=AW5,AT5&lt;=AX5),"NG2",IF(AND(AQ5&lt;65,AQ6&lt;65),"NG1","OK")))</f>
        <v/>
      </c>
      <c r="AS5" s="52" t="str">
        <f t="shared" si="3"/>
        <v/>
      </c>
      <c r="AT5" s="54" t="str">
        <f t="shared" si="11"/>
        <v/>
      </c>
      <c r="AU5" s="53" t="str">
        <f t="shared" si="4"/>
        <v/>
      </c>
      <c r="AV5" s="52" t="str">
        <f t="shared" si="5"/>
        <v/>
      </c>
      <c r="AW5" s="53" t="str">
        <f>IF(AP6&gt;110,AP5,"")</f>
        <v/>
      </c>
      <c r="AX5" s="46">
        <f>IF(AP5&lt;170,AP6,"")</f>
        <v>0</v>
      </c>
    </row>
    <row r="6" spans="1:50" ht="23.1" customHeight="1" thickBot="1" x14ac:dyDescent="0.2">
      <c r="A6" s="87" t="s">
        <v>7</v>
      </c>
      <c r="B6" s="86"/>
      <c r="C6" s="86"/>
      <c r="D6" s="86"/>
      <c r="E6" s="86"/>
      <c r="F6" s="86"/>
      <c r="G6" s="86"/>
      <c r="H6" s="86"/>
      <c r="I6" s="88"/>
      <c r="J6" s="97" t="s">
        <v>18</v>
      </c>
      <c r="K6" s="98"/>
      <c r="L6" s="86" t="s">
        <v>19</v>
      </c>
      <c r="M6" s="86"/>
      <c r="N6" s="86"/>
      <c r="O6" s="86"/>
      <c r="P6" s="86"/>
      <c r="Q6" s="86"/>
      <c r="R6" s="86"/>
      <c r="S6" s="86"/>
      <c r="T6" s="77"/>
      <c r="U6" s="77"/>
      <c r="V6" s="41" t="s">
        <v>12</v>
      </c>
      <c r="W6" s="9"/>
      <c r="X6" s="99" t="s">
        <v>51</v>
      </c>
      <c r="Y6" s="100"/>
      <c r="Z6" s="100"/>
      <c r="AA6" s="101"/>
      <c r="AB6" s="102" t="str">
        <f>IF(OR(K3="",P3="",E5=""),"",10^(E5/10)*(3*10^8)^2/(4*PI()*(PI()*(VALUE(P3)/10)^2/4)*(AN1*10^6)^2))</f>
        <v/>
      </c>
      <c r="AC6" s="103"/>
      <c r="AD6" s="103"/>
      <c r="AE6" s="104"/>
      <c r="AG6" s="46" t="str">
        <f t="shared" si="0"/>
        <v/>
      </c>
      <c r="AH6" s="47">
        <f>C14</f>
        <v>0</v>
      </c>
      <c r="AI6" s="64">
        <f t="shared" si="1"/>
        <v>48</v>
      </c>
      <c r="AJ6" s="46">
        <f t="shared" si="9"/>
        <v>48</v>
      </c>
      <c r="AK6" s="46" t="str">
        <f>IF(AND($AH6&lt;AK$2,COUNT($AJ6:AJ6)=0),IF($K$3="1211",38-22.5*LOG10(AH6),44-27.5*LOG10(AH6)),"")</f>
        <v/>
      </c>
      <c r="AL6" s="46" t="str">
        <f>IF(AND($AH6&lt;AL$2,COUNT($AJ6:AK6)=0),0,"")</f>
        <v/>
      </c>
      <c r="AM6" s="46" t="str">
        <f>IF(AND($AH6&lt;AM$2,COUNT($AJ6:AL6)=0),IF($K$3="1211",67.5-0.75*AH6,58.5-0.65*AH6),"")</f>
        <v/>
      </c>
      <c r="AN6" s="46" t="str">
        <f>IF(AND($AH6&gt;=AN$2,COUNT($AJ6:AM6)=0),IF($K$3="1211",-13,-15),"")</f>
        <v/>
      </c>
      <c r="AP6" s="47">
        <f>C14</f>
        <v>0</v>
      </c>
      <c r="AQ6" s="47">
        <f>H14</f>
        <v>0</v>
      </c>
      <c r="AR6" s="53" t="str">
        <f t="shared" si="12"/>
        <v/>
      </c>
      <c r="AS6" s="52" t="str">
        <f t="shared" si="3"/>
        <v/>
      </c>
      <c r="AT6" s="54" t="str">
        <f>IF(AND(AW6&lt;&gt;"",AX6&lt;&gt;""),IF(ISERROR(FORECAST(65,AP6:AP7,AQ6:AQ7)),0,FORECAST(65,AP6:AP7,AQ6:AQ7)),"")</f>
        <v/>
      </c>
      <c r="AU6" s="53" t="str">
        <f t="shared" si="4"/>
        <v/>
      </c>
      <c r="AV6" s="52" t="str">
        <f>IF(AU6="","",FORECAST(AU6,AQ6:AQ7,AP6:AP7))</f>
        <v/>
      </c>
      <c r="AW6" s="53" t="str">
        <f>IF(AP7&gt;110,AP6,"")</f>
        <v/>
      </c>
      <c r="AX6" s="46">
        <f>IF(AP6&lt;170,AP7,"")</f>
        <v>0</v>
      </c>
    </row>
    <row r="7" spans="1:50" x14ac:dyDescent="0.15">
      <c r="AG7" s="46" t="str">
        <f t="shared" si="0"/>
        <v/>
      </c>
      <c r="AH7" s="47">
        <f t="shared" si="8"/>
        <v>0</v>
      </c>
      <c r="AI7" s="64">
        <f t="shared" si="1"/>
        <v>48</v>
      </c>
      <c r="AJ7" s="46">
        <f t="shared" si="9"/>
        <v>48</v>
      </c>
      <c r="AK7" s="46" t="str">
        <f>IF(AND($AH7&lt;AK$2,COUNT($AJ7:AJ7)=0),IF($K$3="1211",38-22.5*LOG10(AH7),44-27.5*LOG10(AH7)),"")</f>
        <v/>
      </c>
      <c r="AL7" s="46" t="str">
        <f>IF(AND($AH7&lt;AL$2,COUNT($AJ7:AK7)=0),0,"")</f>
        <v/>
      </c>
      <c r="AM7" s="46" t="str">
        <f>IF(AND($AH7&lt;AM$2,COUNT($AJ7:AL7)=0),IF($K$3="1211",67.5-0.75*AH7,58.5-0.65*AH7),"")</f>
        <v/>
      </c>
      <c r="AN7" s="46" t="str">
        <f>IF(AND($AH7&gt;=AN$2,COUNT($AJ7:AM7)=0),IF($K$3="1211",-13,-15),"")</f>
        <v/>
      </c>
      <c r="AP7" s="47">
        <f t="shared" si="10"/>
        <v>0</v>
      </c>
      <c r="AQ7" s="47">
        <f t="shared" si="2"/>
        <v>0</v>
      </c>
      <c r="AR7" s="53" t="str">
        <f t="shared" si="12"/>
        <v/>
      </c>
      <c r="AS7" s="52" t="str">
        <f t="shared" si="3"/>
        <v/>
      </c>
      <c r="AT7" s="54" t="str">
        <f t="shared" si="11"/>
        <v/>
      </c>
      <c r="AU7" s="53" t="str">
        <f t="shared" si="4"/>
        <v/>
      </c>
      <c r="AV7" s="52" t="str">
        <f t="shared" si="5"/>
        <v/>
      </c>
      <c r="AW7" s="53" t="str">
        <f t="shared" si="6"/>
        <v/>
      </c>
      <c r="AX7" s="46">
        <f t="shared" si="7"/>
        <v>0</v>
      </c>
    </row>
    <row r="8" spans="1:50" ht="18" thickBot="1" x14ac:dyDescent="0.2">
      <c r="A8" s="2" t="s">
        <v>1</v>
      </c>
      <c r="AE8" s="50"/>
      <c r="AG8" s="46" t="str">
        <f t="shared" si="0"/>
        <v/>
      </c>
      <c r="AH8" s="47">
        <f t="shared" si="8"/>
        <v>0</v>
      </c>
      <c r="AI8" s="64">
        <f t="shared" si="1"/>
        <v>48</v>
      </c>
      <c r="AJ8" s="46">
        <f t="shared" si="9"/>
        <v>48</v>
      </c>
      <c r="AK8" s="46" t="str">
        <f>IF(AND($AH8&lt;AK$2,COUNT($AJ8:AJ8)=0),IF($K$3="1211",38-22.5*LOG10(AH8),44-27.5*LOG10(AH8)),"")</f>
        <v/>
      </c>
      <c r="AL8" s="46" t="str">
        <f>IF(AND($AH8&lt;AL$2,COUNT($AJ8:AK8)=0),0,"")</f>
        <v/>
      </c>
      <c r="AM8" s="46" t="str">
        <f>IF(AND($AH8&lt;AM$2,COUNT($AJ8:AL8)=0),IF($K$3="1211",67.5-0.75*AH8,58.5-0.65*AH8),"")</f>
        <v/>
      </c>
      <c r="AN8" s="46" t="str">
        <f>IF(AND($AH8&gt;=AN$2,COUNT($AJ8:AM8)=0),IF($K$3="1211",-13,-15),"")</f>
        <v/>
      </c>
      <c r="AP8" s="47">
        <f t="shared" si="10"/>
        <v>0</v>
      </c>
      <c r="AQ8" s="47">
        <f t="shared" si="2"/>
        <v>0</v>
      </c>
      <c r="AR8" s="53" t="str">
        <f t="shared" si="12"/>
        <v/>
      </c>
      <c r="AS8" s="52" t="str">
        <f t="shared" si="3"/>
        <v/>
      </c>
      <c r="AT8" s="54" t="str">
        <f t="shared" si="11"/>
        <v/>
      </c>
      <c r="AU8" s="53" t="str">
        <f t="shared" si="4"/>
        <v/>
      </c>
      <c r="AV8" s="52" t="str">
        <f t="shared" si="5"/>
        <v/>
      </c>
      <c r="AW8" s="53" t="str">
        <f t="shared" si="6"/>
        <v/>
      </c>
      <c r="AX8" s="46">
        <f t="shared" si="7"/>
        <v>0</v>
      </c>
    </row>
    <row r="9" spans="1:50" ht="15" customHeight="1" x14ac:dyDescent="0.15">
      <c r="A9" s="91" t="s">
        <v>20</v>
      </c>
      <c r="B9" s="85" t="s">
        <v>0</v>
      </c>
      <c r="C9" s="75"/>
      <c r="D9" s="75"/>
      <c r="E9" s="75"/>
      <c r="F9" s="75"/>
      <c r="G9" s="75"/>
      <c r="H9" s="75"/>
      <c r="I9" s="75"/>
      <c r="J9" s="75"/>
      <c r="K9" s="76"/>
      <c r="L9" s="74" t="s">
        <v>3</v>
      </c>
      <c r="M9" s="75"/>
      <c r="N9" s="75"/>
      <c r="O9" s="75"/>
      <c r="P9" s="75"/>
      <c r="Q9" s="75"/>
      <c r="R9" s="75"/>
      <c r="S9" s="75"/>
      <c r="T9" s="75"/>
      <c r="U9" s="76"/>
      <c r="V9" s="74" t="s">
        <v>4</v>
      </c>
      <c r="W9" s="75"/>
      <c r="X9" s="75"/>
      <c r="Y9" s="75"/>
      <c r="Z9" s="75"/>
      <c r="AA9" s="75"/>
      <c r="AB9" s="75"/>
      <c r="AC9" s="75"/>
      <c r="AD9" s="75"/>
      <c r="AE9" s="80"/>
      <c r="AG9" s="46" t="str">
        <f t="shared" si="0"/>
        <v/>
      </c>
      <c r="AH9" s="47">
        <f t="shared" si="8"/>
        <v>0</v>
      </c>
      <c r="AI9" s="64">
        <f t="shared" si="1"/>
        <v>48</v>
      </c>
      <c r="AJ9" s="46">
        <f t="shared" si="9"/>
        <v>48</v>
      </c>
      <c r="AK9" s="46" t="str">
        <f>IF(AND($AH9&lt;AK$2,COUNT($AJ9:AJ9)=0),IF($K$3="1211",38-22.5*LOG10(AH9),44-27.5*LOG10(AH9)),"")</f>
        <v/>
      </c>
      <c r="AL9" s="46" t="str">
        <f>IF(AND($AH9&lt;AL$2,COUNT($AJ9:AK9)=0),0,"")</f>
        <v/>
      </c>
      <c r="AM9" s="46" t="str">
        <f>IF(AND($AH9&lt;AM$2,COUNT($AJ9:AL9)=0),IF($K$3="1211",67.5-0.75*AH9,58.5-0.65*AH9),"")</f>
        <v/>
      </c>
      <c r="AN9" s="46" t="str">
        <f>IF(AND($AH9&gt;=AN$2,COUNT($AJ9:AM9)=0),IF($K$3="1211",-13,-15),"")</f>
        <v/>
      </c>
      <c r="AP9" s="47">
        <f t="shared" si="10"/>
        <v>0</v>
      </c>
      <c r="AQ9" s="47">
        <f t="shared" si="2"/>
        <v>0</v>
      </c>
      <c r="AR9" s="53" t="str">
        <f t="shared" si="12"/>
        <v/>
      </c>
      <c r="AS9" s="52" t="str">
        <f t="shared" si="3"/>
        <v/>
      </c>
      <c r="AT9" s="54" t="str">
        <f t="shared" si="11"/>
        <v/>
      </c>
      <c r="AU9" s="53" t="str">
        <f t="shared" si="4"/>
        <v/>
      </c>
      <c r="AV9" s="52" t="str">
        <f t="shared" si="5"/>
        <v/>
      </c>
      <c r="AW9" s="53" t="str">
        <f t="shared" si="6"/>
        <v/>
      </c>
      <c r="AX9" s="46">
        <f t="shared" si="7"/>
        <v>0</v>
      </c>
    </row>
    <row r="10" spans="1:50" ht="15" customHeight="1" thickBot="1" x14ac:dyDescent="0.2">
      <c r="A10" s="92"/>
      <c r="B10" s="87" t="s">
        <v>6</v>
      </c>
      <c r="C10" s="86"/>
      <c r="D10" s="86"/>
      <c r="E10" s="41"/>
      <c r="F10" s="86" t="s">
        <v>24</v>
      </c>
      <c r="G10" s="86"/>
      <c r="H10" s="86"/>
      <c r="I10" s="86"/>
      <c r="J10" s="86"/>
      <c r="K10" s="40"/>
      <c r="L10" s="93" t="s">
        <v>5</v>
      </c>
      <c r="M10" s="86"/>
      <c r="N10" s="86"/>
      <c r="O10" s="41"/>
      <c r="P10" s="86" t="s">
        <v>27</v>
      </c>
      <c r="Q10" s="86"/>
      <c r="R10" s="86"/>
      <c r="S10" s="86"/>
      <c r="T10" s="86"/>
      <c r="U10" s="40"/>
      <c r="V10" s="93" t="s">
        <v>5</v>
      </c>
      <c r="W10" s="86"/>
      <c r="X10" s="86"/>
      <c r="Y10" s="41"/>
      <c r="Z10" s="86" t="s">
        <v>28</v>
      </c>
      <c r="AA10" s="86"/>
      <c r="AB10" s="86"/>
      <c r="AC10" s="86"/>
      <c r="AD10" s="86"/>
      <c r="AE10" s="42"/>
      <c r="AG10" s="46" t="str">
        <f t="shared" si="0"/>
        <v/>
      </c>
      <c r="AH10" s="47">
        <f t="shared" si="8"/>
        <v>0</v>
      </c>
      <c r="AI10" s="64">
        <f t="shared" si="1"/>
        <v>48</v>
      </c>
      <c r="AJ10" s="46">
        <f t="shared" si="9"/>
        <v>48</v>
      </c>
      <c r="AK10" s="46" t="str">
        <f>IF(AND($AH10&lt;AK$2,COUNT($AJ10:AJ10)=0),IF($K$3="1211",38-22.5*LOG10(AH10),44-27.5*LOG10(AH10)),"")</f>
        <v/>
      </c>
      <c r="AL10" s="46" t="str">
        <f>IF(AND($AH10&lt;AL$2,COUNT($AJ10:AK10)=0),0,"")</f>
        <v/>
      </c>
      <c r="AM10" s="46" t="str">
        <f>IF(AND($AH10&lt;AM$2,COUNT($AJ10:AL10)=0),IF($K$3="1211",67.5-0.75*AH10,58.5-0.65*AH10),"")</f>
        <v/>
      </c>
      <c r="AN10" s="46" t="str">
        <f>IF(AND($AH10&gt;=AN$2,COUNT($AJ10:AM10)=0),IF($K$3="1211",-13,-15),"")</f>
        <v/>
      </c>
      <c r="AP10" s="47">
        <f t="shared" si="10"/>
        <v>0</v>
      </c>
      <c r="AQ10" s="47">
        <f t="shared" si="2"/>
        <v>0</v>
      </c>
      <c r="AR10" s="53" t="str">
        <f t="shared" si="12"/>
        <v/>
      </c>
      <c r="AS10" s="52" t="str">
        <f t="shared" si="3"/>
        <v/>
      </c>
      <c r="AT10" s="54" t="str">
        <f t="shared" si="11"/>
        <v/>
      </c>
      <c r="AU10" s="53" t="str">
        <f t="shared" si="4"/>
        <v/>
      </c>
      <c r="AV10" s="52" t="str">
        <f t="shared" si="5"/>
        <v/>
      </c>
      <c r="AW10" s="53" t="str">
        <f t="shared" si="6"/>
        <v/>
      </c>
      <c r="AX10" s="46">
        <f t="shared" si="7"/>
        <v>0</v>
      </c>
    </row>
    <row r="11" spans="1:50" ht="23.1" customHeight="1" x14ac:dyDescent="0.15">
      <c r="A11" s="12">
        <v>1</v>
      </c>
      <c r="B11" s="3" t="s">
        <v>21</v>
      </c>
      <c r="C11" s="94">
        <v>0</v>
      </c>
      <c r="D11" s="94"/>
      <c r="E11" s="27" t="s">
        <v>22</v>
      </c>
      <c r="F11" s="27"/>
      <c r="G11" s="27"/>
      <c r="H11" s="94">
        <v>0</v>
      </c>
      <c r="I11" s="94"/>
      <c r="J11" s="3" t="s">
        <v>23</v>
      </c>
      <c r="K11" s="3"/>
      <c r="L11" s="4" t="s">
        <v>21</v>
      </c>
      <c r="M11" s="82"/>
      <c r="N11" s="82"/>
      <c r="O11" s="27" t="s">
        <v>22</v>
      </c>
      <c r="P11" s="27"/>
      <c r="Q11" s="27"/>
      <c r="R11" s="82"/>
      <c r="S11" s="82"/>
      <c r="T11" s="28" t="s">
        <v>23</v>
      </c>
      <c r="U11" s="28"/>
      <c r="V11" s="27" t="s">
        <v>21</v>
      </c>
      <c r="W11" s="106"/>
      <c r="X11" s="106"/>
      <c r="Y11" s="27" t="s">
        <v>22</v>
      </c>
      <c r="Z11" s="27"/>
      <c r="AA11" s="27"/>
      <c r="AB11" s="82"/>
      <c r="AC11" s="82"/>
      <c r="AD11" s="24" t="s">
        <v>23</v>
      </c>
      <c r="AE11" s="24"/>
      <c r="AG11" s="46" t="str">
        <f t="shared" si="0"/>
        <v/>
      </c>
      <c r="AH11" s="47">
        <f t="shared" si="8"/>
        <v>0</v>
      </c>
      <c r="AI11" s="64">
        <f t="shared" si="1"/>
        <v>48</v>
      </c>
      <c r="AJ11" s="46">
        <f t="shared" si="9"/>
        <v>48</v>
      </c>
      <c r="AK11" s="46" t="str">
        <f>IF(AND($AH11&lt;AK$2,COUNT($AJ11:AJ11)=0),IF($K$3="1211",38-22.5*LOG10(AH11),44-27.5*LOG10(AH11)),"")</f>
        <v/>
      </c>
      <c r="AL11" s="46" t="str">
        <f>IF(AND($AH11&lt;AL$2,COUNT($AJ11:AK11)=0),0,"")</f>
        <v/>
      </c>
      <c r="AM11" s="46" t="str">
        <f>IF(AND($AH11&lt;AM$2,COUNT($AJ11:AL11)=0),IF($K$3="1211",67.5-0.75*AH11,58.5-0.65*AH11),"")</f>
        <v/>
      </c>
      <c r="AN11" s="46" t="str">
        <f>IF(AND($AH11&gt;=AN$2,COUNT($AJ11:AM11)=0),IF($K$3="1211",-13,-15),"")</f>
        <v/>
      </c>
      <c r="AP11" s="47">
        <f t="shared" si="10"/>
        <v>0</v>
      </c>
      <c r="AQ11" s="47">
        <f t="shared" si="2"/>
        <v>0</v>
      </c>
      <c r="AR11" s="53" t="str">
        <f t="shared" si="12"/>
        <v/>
      </c>
      <c r="AS11" s="52" t="str">
        <f t="shared" si="3"/>
        <v/>
      </c>
      <c r="AT11" s="54" t="str">
        <f t="shared" si="11"/>
        <v/>
      </c>
      <c r="AU11" s="53" t="str">
        <f t="shared" si="4"/>
        <v/>
      </c>
      <c r="AV11" s="52" t="str">
        <f t="shared" si="5"/>
        <v/>
      </c>
      <c r="AW11" s="53" t="str">
        <f t="shared" si="6"/>
        <v/>
      </c>
      <c r="AX11" s="46">
        <f t="shared" si="7"/>
        <v>0</v>
      </c>
    </row>
    <row r="12" spans="1:50" ht="22.5" customHeight="1" x14ac:dyDescent="0.15">
      <c r="A12" s="13">
        <v>2</v>
      </c>
      <c r="B12" s="5" t="s">
        <v>21</v>
      </c>
      <c r="C12" s="89"/>
      <c r="D12" s="90"/>
      <c r="E12" s="18" t="s">
        <v>22</v>
      </c>
      <c r="F12" s="18"/>
      <c r="G12" s="18"/>
      <c r="H12" s="89"/>
      <c r="I12" s="90"/>
      <c r="J12" s="5" t="s">
        <v>23</v>
      </c>
      <c r="K12" s="5"/>
      <c r="L12" s="6" t="s">
        <v>21</v>
      </c>
      <c r="M12" s="71"/>
      <c r="N12" s="71"/>
      <c r="O12" s="29" t="s">
        <v>22</v>
      </c>
      <c r="P12" s="29"/>
      <c r="Q12" s="29"/>
      <c r="R12" s="71"/>
      <c r="S12" s="71"/>
      <c r="T12" s="30" t="s">
        <v>23</v>
      </c>
      <c r="U12" s="30"/>
      <c r="V12" s="31" t="s">
        <v>21</v>
      </c>
      <c r="W12" s="71"/>
      <c r="X12" s="71"/>
      <c r="Y12" s="29" t="s">
        <v>22</v>
      </c>
      <c r="Z12" s="29"/>
      <c r="AA12" s="29"/>
      <c r="AB12" s="71"/>
      <c r="AC12" s="71"/>
      <c r="AD12" s="8" t="s">
        <v>23</v>
      </c>
      <c r="AE12" s="8"/>
      <c r="AG12" s="46" t="str">
        <f t="shared" si="0"/>
        <v/>
      </c>
      <c r="AH12" s="47">
        <f t="shared" si="8"/>
        <v>0</v>
      </c>
      <c r="AI12" s="64">
        <f t="shared" si="1"/>
        <v>48</v>
      </c>
      <c r="AJ12" s="46">
        <f t="shared" si="9"/>
        <v>48</v>
      </c>
      <c r="AK12" s="46" t="str">
        <f>IF(AND($AH12&lt;AK$2,COUNT($AJ12:AJ12)=0),IF($K$3="1211",38-22.5*LOG10(AH12),44-27.5*LOG10(AH12)),"")</f>
        <v/>
      </c>
      <c r="AL12" s="46" t="str">
        <f>IF(AND($AH12&lt;AL$2,COUNT($AJ12:AK12)=0),0,"")</f>
        <v/>
      </c>
      <c r="AM12" s="46" t="str">
        <f>IF(AND($AH12&lt;AM$2,COUNT($AJ12:AL12)=0),IF($K$3="1211",67.5-0.75*AH12,58.5-0.65*AH12),"")</f>
        <v/>
      </c>
      <c r="AN12" s="46" t="str">
        <f>IF(AND($AH12&gt;=AN$2,COUNT($AJ12:AM12)=0),IF($K$3="1211",-13,-15),"")</f>
        <v/>
      </c>
      <c r="AP12" s="47">
        <f t="shared" si="10"/>
        <v>0</v>
      </c>
      <c r="AQ12" s="47">
        <f t="shared" si="2"/>
        <v>0</v>
      </c>
      <c r="AR12" s="53" t="str">
        <f t="shared" si="12"/>
        <v/>
      </c>
      <c r="AS12" s="52" t="str">
        <f t="shared" si="3"/>
        <v/>
      </c>
      <c r="AT12" s="54" t="str">
        <f t="shared" si="11"/>
        <v/>
      </c>
      <c r="AU12" s="53" t="str">
        <f t="shared" si="4"/>
        <v/>
      </c>
      <c r="AV12" s="52" t="str">
        <f t="shared" si="5"/>
        <v/>
      </c>
      <c r="AW12" s="53" t="str">
        <f t="shared" si="6"/>
        <v/>
      </c>
      <c r="AX12" s="46">
        <f t="shared" si="7"/>
        <v>0</v>
      </c>
    </row>
    <row r="13" spans="1:50" ht="23.1" customHeight="1" x14ac:dyDescent="0.15">
      <c r="A13" s="13">
        <v>3</v>
      </c>
      <c r="B13" s="5" t="s">
        <v>21</v>
      </c>
      <c r="C13" s="89"/>
      <c r="D13" s="90"/>
      <c r="E13" s="18" t="s">
        <v>22</v>
      </c>
      <c r="F13" s="18"/>
      <c r="G13" s="18"/>
      <c r="H13" s="89"/>
      <c r="I13" s="90"/>
      <c r="J13" s="5" t="s">
        <v>23</v>
      </c>
      <c r="K13" s="5"/>
      <c r="L13" s="6" t="s">
        <v>21</v>
      </c>
      <c r="M13" s="71"/>
      <c r="N13" s="71"/>
      <c r="O13" s="29" t="s">
        <v>22</v>
      </c>
      <c r="P13" s="29"/>
      <c r="Q13" s="29"/>
      <c r="R13" s="71"/>
      <c r="S13" s="71"/>
      <c r="T13" s="30" t="s">
        <v>23</v>
      </c>
      <c r="U13" s="30"/>
      <c r="V13" s="31" t="s">
        <v>21</v>
      </c>
      <c r="W13" s="71"/>
      <c r="X13" s="71"/>
      <c r="Y13" s="29" t="s">
        <v>22</v>
      </c>
      <c r="Z13" s="29"/>
      <c r="AA13" s="29"/>
      <c r="AB13" s="71"/>
      <c r="AC13" s="71"/>
      <c r="AD13" s="8" t="s">
        <v>23</v>
      </c>
      <c r="AE13" s="8"/>
      <c r="AG13" s="46" t="str">
        <f t="shared" si="0"/>
        <v/>
      </c>
      <c r="AH13" s="47">
        <f t="shared" si="8"/>
        <v>0</v>
      </c>
      <c r="AI13" s="64">
        <f t="shared" si="1"/>
        <v>48</v>
      </c>
      <c r="AJ13" s="46">
        <f t="shared" si="9"/>
        <v>48</v>
      </c>
      <c r="AK13" s="46" t="str">
        <f>IF(AND($AH13&lt;AK$2,COUNT($AJ13:AJ13)=0),IF($K$3="1211",38-22.5*LOG10(AH13),44-27.5*LOG10(AH13)),"")</f>
        <v/>
      </c>
      <c r="AL13" s="46" t="str">
        <f>IF(AND($AH13&lt;AL$2,COUNT($AJ13:AK13)=0),0,"")</f>
        <v/>
      </c>
      <c r="AM13" s="46" t="str">
        <f>IF(AND($AH13&lt;AM$2,COUNT($AJ13:AL13)=0),IF($K$3="1211",67.5-0.75*AH13,58.5-0.65*AH13),"")</f>
        <v/>
      </c>
      <c r="AN13" s="46" t="str">
        <f>IF(AND($AH13&gt;=AN$2,COUNT($AJ13:AM13)=0),IF($K$3="1211",-13,-15),"")</f>
        <v/>
      </c>
      <c r="AP13" s="47">
        <f t="shared" si="10"/>
        <v>0</v>
      </c>
      <c r="AQ13" s="47">
        <f t="shared" si="2"/>
        <v>0</v>
      </c>
      <c r="AR13" s="53" t="str">
        <f t="shared" si="12"/>
        <v/>
      </c>
      <c r="AS13" s="52" t="str">
        <f t="shared" si="3"/>
        <v/>
      </c>
      <c r="AT13" s="54" t="str">
        <f t="shared" si="11"/>
        <v/>
      </c>
      <c r="AU13" s="53" t="str">
        <f t="shared" si="4"/>
        <v/>
      </c>
      <c r="AV13" s="52" t="str">
        <f t="shared" si="5"/>
        <v/>
      </c>
      <c r="AW13" s="53" t="str">
        <f t="shared" si="6"/>
        <v/>
      </c>
      <c r="AX13" s="46">
        <f t="shared" si="7"/>
        <v>0</v>
      </c>
    </row>
    <row r="14" spans="1:50" ht="23.1" customHeight="1" x14ac:dyDescent="0.15">
      <c r="A14" s="13">
        <v>4</v>
      </c>
      <c r="B14" s="5" t="s">
        <v>21</v>
      </c>
      <c r="C14" s="89"/>
      <c r="D14" s="90"/>
      <c r="E14" s="18" t="s">
        <v>22</v>
      </c>
      <c r="F14" s="18"/>
      <c r="G14" s="18"/>
      <c r="H14" s="89"/>
      <c r="I14" s="90"/>
      <c r="J14" s="5" t="s">
        <v>23</v>
      </c>
      <c r="K14" s="5"/>
      <c r="L14" s="6" t="s">
        <v>21</v>
      </c>
      <c r="M14" s="71"/>
      <c r="N14" s="71"/>
      <c r="O14" s="29" t="s">
        <v>22</v>
      </c>
      <c r="P14" s="29"/>
      <c r="Q14" s="29"/>
      <c r="R14" s="71"/>
      <c r="S14" s="71"/>
      <c r="T14" s="30" t="s">
        <v>23</v>
      </c>
      <c r="U14" s="30"/>
      <c r="V14" s="31" t="s">
        <v>21</v>
      </c>
      <c r="W14" s="71"/>
      <c r="X14" s="71"/>
      <c r="Y14" s="29" t="s">
        <v>22</v>
      </c>
      <c r="Z14" s="29"/>
      <c r="AA14" s="29"/>
      <c r="AB14" s="71"/>
      <c r="AC14" s="71"/>
      <c r="AD14" s="8" t="s">
        <v>23</v>
      </c>
      <c r="AE14" s="8"/>
      <c r="AG14" s="46" t="str">
        <f t="shared" si="0"/>
        <v/>
      </c>
      <c r="AH14" s="47">
        <f t="shared" si="8"/>
        <v>0</v>
      </c>
      <c r="AI14" s="64">
        <f t="shared" si="1"/>
        <v>48</v>
      </c>
      <c r="AJ14" s="46">
        <f t="shared" si="9"/>
        <v>48</v>
      </c>
      <c r="AK14" s="46" t="str">
        <f>IF(AND($AH14&lt;AK$2,COUNT($AJ14:AJ14)=0),IF($K$3="1211",38-22.5*LOG10(AH14),44-27.5*LOG10(AH14)),"")</f>
        <v/>
      </c>
      <c r="AL14" s="46" t="str">
        <f>IF(AND($AH14&lt;AL$2,COUNT($AJ14:AK14)=0),0,"")</f>
        <v/>
      </c>
      <c r="AM14" s="46" t="str">
        <f>IF(AND($AH14&lt;AM$2,COUNT($AJ14:AL14)=0),IF($K$3="1211",67.5-0.75*AH14,58.5-0.65*AH14),"")</f>
        <v/>
      </c>
      <c r="AN14" s="46" t="str">
        <f>IF(AND($AH14&gt;=AN$2,COUNT($AJ14:AM14)=0),IF($K$3="1211",-13,-15),"")</f>
        <v/>
      </c>
      <c r="AP14" s="47">
        <f t="shared" si="10"/>
        <v>0</v>
      </c>
      <c r="AQ14" s="47">
        <f t="shared" si="2"/>
        <v>0</v>
      </c>
      <c r="AR14" s="53" t="str">
        <f t="shared" si="12"/>
        <v/>
      </c>
      <c r="AS14" s="52" t="str">
        <f t="shared" si="3"/>
        <v/>
      </c>
      <c r="AT14" s="54" t="str">
        <f t="shared" si="11"/>
        <v/>
      </c>
      <c r="AU14" s="53" t="str">
        <f t="shared" si="4"/>
        <v/>
      </c>
      <c r="AV14" s="52" t="str">
        <f t="shared" si="5"/>
        <v/>
      </c>
      <c r="AW14" s="53" t="str">
        <f t="shared" si="6"/>
        <v/>
      </c>
      <c r="AX14" s="46">
        <f t="shared" si="7"/>
        <v>0</v>
      </c>
    </row>
    <row r="15" spans="1:50" ht="23.1" customHeight="1" x14ac:dyDescent="0.15">
      <c r="A15" s="13">
        <v>5</v>
      </c>
      <c r="B15" s="5" t="s">
        <v>21</v>
      </c>
      <c r="C15" s="89"/>
      <c r="D15" s="90"/>
      <c r="E15" s="18" t="s">
        <v>22</v>
      </c>
      <c r="F15" s="18"/>
      <c r="G15" s="18"/>
      <c r="H15" s="89"/>
      <c r="I15" s="90"/>
      <c r="J15" s="5" t="s">
        <v>23</v>
      </c>
      <c r="K15" s="5"/>
      <c r="L15" s="6" t="s">
        <v>21</v>
      </c>
      <c r="M15" s="71"/>
      <c r="N15" s="71"/>
      <c r="O15" s="29" t="s">
        <v>22</v>
      </c>
      <c r="P15" s="29"/>
      <c r="Q15" s="29"/>
      <c r="R15" s="71"/>
      <c r="S15" s="71"/>
      <c r="T15" s="30" t="s">
        <v>23</v>
      </c>
      <c r="U15" s="30"/>
      <c r="V15" s="31" t="s">
        <v>21</v>
      </c>
      <c r="W15" s="71"/>
      <c r="X15" s="71"/>
      <c r="Y15" s="29" t="s">
        <v>22</v>
      </c>
      <c r="Z15" s="29"/>
      <c r="AA15" s="29"/>
      <c r="AB15" s="71"/>
      <c r="AC15" s="71"/>
      <c r="AD15" s="8" t="s">
        <v>23</v>
      </c>
      <c r="AE15" s="8"/>
      <c r="AG15" s="46" t="str">
        <f t="shared" si="0"/>
        <v/>
      </c>
      <c r="AH15" s="47">
        <f t="shared" si="8"/>
        <v>0</v>
      </c>
      <c r="AI15" s="64">
        <f t="shared" si="1"/>
        <v>48</v>
      </c>
      <c r="AJ15" s="46">
        <f t="shared" si="9"/>
        <v>48</v>
      </c>
      <c r="AK15" s="46" t="str">
        <f>IF(AND($AH15&lt;AK$2,COUNT($AJ15:AJ15)=0),IF($K$3="1211",38-22.5*LOG10(AH15),44-27.5*LOG10(AH15)),"")</f>
        <v/>
      </c>
      <c r="AL15" s="46" t="str">
        <f>IF(AND($AH15&lt;AL$2,COUNT($AJ15:AK15)=0),0,"")</f>
        <v/>
      </c>
      <c r="AM15" s="46" t="str">
        <f>IF(AND($AH15&lt;AM$2,COUNT($AJ15:AL15)=0),IF($K$3="1211",67.5-0.75*AH15,58.5-0.65*AH15),"")</f>
        <v/>
      </c>
      <c r="AN15" s="46" t="str">
        <f>IF(AND($AH15&gt;=AN$2,COUNT($AJ15:AM15)=0),IF($K$3="1211",-13,-15),"")</f>
        <v/>
      </c>
      <c r="AP15" s="47">
        <f t="shared" si="10"/>
        <v>0</v>
      </c>
      <c r="AQ15" s="47">
        <f t="shared" si="2"/>
        <v>0</v>
      </c>
      <c r="AR15" s="53" t="str">
        <f t="shared" si="12"/>
        <v/>
      </c>
      <c r="AS15" s="52" t="str">
        <f t="shared" si="3"/>
        <v/>
      </c>
      <c r="AT15" s="54" t="str">
        <f t="shared" si="11"/>
        <v/>
      </c>
      <c r="AU15" s="53" t="str">
        <f t="shared" si="4"/>
        <v/>
      </c>
      <c r="AV15" s="52" t="str">
        <f t="shared" si="5"/>
        <v/>
      </c>
      <c r="AW15" s="53" t="str">
        <f t="shared" si="6"/>
        <v/>
      </c>
      <c r="AX15" s="46">
        <f t="shared" si="7"/>
        <v>0</v>
      </c>
    </row>
    <row r="16" spans="1:50" ht="23.1" customHeight="1" x14ac:dyDescent="0.15">
      <c r="A16" s="13">
        <v>6</v>
      </c>
      <c r="B16" s="5" t="s">
        <v>21</v>
      </c>
      <c r="C16" s="89"/>
      <c r="D16" s="90"/>
      <c r="E16" s="18" t="s">
        <v>22</v>
      </c>
      <c r="F16" s="18"/>
      <c r="G16" s="18"/>
      <c r="H16" s="89"/>
      <c r="I16" s="90"/>
      <c r="J16" s="5" t="s">
        <v>23</v>
      </c>
      <c r="K16" s="5"/>
      <c r="L16" s="6" t="s">
        <v>21</v>
      </c>
      <c r="M16" s="71"/>
      <c r="N16" s="71"/>
      <c r="O16" s="29" t="s">
        <v>22</v>
      </c>
      <c r="P16" s="29"/>
      <c r="Q16" s="29"/>
      <c r="R16" s="71"/>
      <c r="S16" s="71"/>
      <c r="T16" s="30" t="s">
        <v>23</v>
      </c>
      <c r="U16" s="30"/>
      <c r="V16" s="31" t="s">
        <v>21</v>
      </c>
      <c r="W16" s="71"/>
      <c r="X16" s="71"/>
      <c r="Y16" s="29" t="s">
        <v>22</v>
      </c>
      <c r="Z16" s="29"/>
      <c r="AA16" s="29"/>
      <c r="AB16" s="71"/>
      <c r="AC16" s="71"/>
      <c r="AD16" s="8" t="s">
        <v>23</v>
      </c>
      <c r="AE16" s="8"/>
      <c r="AG16" s="46" t="str">
        <f t="shared" si="0"/>
        <v/>
      </c>
      <c r="AH16" s="47">
        <f t="shared" si="8"/>
        <v>0</v>
      </c>
      <c r="AI16" s="64">
        <f t="shared" si="1"/>
        <v>48</v>
      </c>
      <c r="AJ16" s="46">
        <f t="shared" si="9"/>
        <v>48</v>
      </c>
      <c r="AK16" s="46" t="str">
        <f>IF(AND($AH16&lt;AK$2,COUNT($AJ16:AJ16)=0),IF($K$3="1211",38-22.5*LOG10(AH16),44-27.5*LOG10(AH16)),"")</f>
        <v/>
      </c>
      <c r="AL16" s="46" t="str">
        <f>IF(AND($AH16&lt;AL$2,COUNT($AJ16:AK16)=0),0,"")</f>
        <v/>
      </c>
      <c r="AM16" s="46" t="str">
        <f>IF(AND($AH16&lt;AM$2,COUNT($AJ16:AL16)=0),IF($K$3="1211",67.5-0.75*AH16,58.5-0.65*AH16),"")</f>
        <v/>
      </c>
      <c r="AN16" s="46" t="str">
        <f>IF(AND($AH16&gt;=AN$2,COUNT($AJ16:AM16)=0),IF($K$3="1211",-13,-15),"")</f>
        <v/>
      </c>
      <c r="AP16" s="47">
        <f t="shared" si="10"/>
        <v>0</v>
      </c>
      <c r="AQ16" s="47">
        <f t="shared" si="2"/>
        <v>0</v>
      </c>
      <c r="AR16" s="53" t="str">
        <f t="shared" si="12"/>
        <v/>
      </c>
      <c r="AS16" s="52" t="str">
        <f t="shared" si="3"/>
        <v/>
      </c>
      <c r="AT16" s="54" t="str">
        <f t="shared" si="11"/>
        <v/>
      </c>
      <c r="AU16" s="53" t="str">
        <f t="shared" si="4"/>
        <v/>
      </c>
      <c r="AV16" s="52" t="str">
        <f t="shared" si="5"/>
        <v/>
      </c>
      <c r="AW16" s="53" t="str">
        <f t="shared" si="6"/>
        <v/>
      </c>
      <c r="AX16" s="46">
        <f t="shared" si="7"/>
        <v>0</v>
      </c>
    </row>
    <row r="17" spans="1:50" ht="23.1" customHeight="1" x14ac:dyDescent="0.15">
      <c r="A17" s="13">
        <v>7</v>
      </c>
      <c r="B17" s="5" t="s">
        <v>21</v>
      </c>
      <c r="C17" s="89"/>
      <c r="D17" s="90"/>
      <c r="E17" s="18" t="s">
        <v>22</v>
      </c>
      <c r="F17" s="18"/>
      <c r="G17" s="18"/>
      <c r="H17" s="89"/>
      <c r="I17" s="90"/>
      <c r="J17" s="5" t="s">
        <v>23</v>
      </c>
      <c r="K17" s="5"/>
      <c r="L17" s="6" t="s">
        <v>21</v>
      </c>
      <c r="M17" s="71"/>
      <c r="N17" s="71"/>
      <c r="O17" s="29" t="s">
        <v>22</v>
      </c>
      <c r="P17" s="29"/>
      <c r="Q17" s="29"/>
      <c r="R17" s="71"/>
      <c r="S17" s="71"/>
      <c r="T17" s="30" t="s">
        <v>23</v>
      </c>
      <c r="U17" s="30"/>
      <c r="V17" s="31" t="s">
        <v>21</v>
      </c>
      <c r="W17" s="71"/>
      <c r="X17" s="71"/>
      <c r="Y17" s="29" t="s">
        <v>22</v>
      </c>
      <c r="Z17" s="29"/>
      <c r="AA17" s="29"/>
      <c r="AB17" s="71"/>
      <c r="AC17" s="71"/>
      <c r="AD17" s="8" t="s">
        <v>23</v>
      </c>
      <c r="AE17" s="8"/>
      <c r="AG17" s="46" t="str">
        <f t="shared" si="0"/>
        <v/>
      </c>
      <c r="AH17" s="47">
        <f t="shared" si="8"/>
        <v>0</v>
      </c>
      <c r="AI17" s="64">
        <f t="shared" si="1"/>
        <v>48</v>
      </c>
      <c r="AJ17" s="46">
        <f t="shared" si="9"/>
        <v>48</v>
      </c>
      <c r="AK17" s="46" t="str">
        <f>IF(AND($AH17&lt;AK$2,COUNT($AJ17:AJ17)=0),IF($K$3="1211",38-22.5*LOG10(AH17),44-27.5*LOG10(AH17)),"")</f>
        <v/>
      </c>
      <c r="AL17" s="46" t="str">
        <f>IF(AND($AH17&lt;AL$2,COUNT($AJ17:AK17)=0),0,"")</f>
        <v/>
      </c>
      <c r="AM17" s="46" t="str">
        <f>IF(AND($AH17&lt;AM$2,COUNT($AJ17:AL17)=0),IF($K$3="1211",67.5-0.75*AH17,58.5-0.65*AH17),"")</f>
        <v/>
      </c>
      <c r="AN17" s="46" t="str">
        <f>IF(AND($AH17&gt;=AN$2,COUNT($AJ17:AM17)=0),IF($K$3="1211",-13,-15),"")</f>
        <v/>
      </c>
      <c r="AP17" s="47">
        <f t="shared" si="10"/>
        <v>0</v>
      </c>
      <c r="AQ17" s="47">
        <f t="shared" si="2"/>
        <v>0</v>
      </c>
      <c r="AR17" s="53" t="str">
        <f t="shared" si="12"/>
        <v/>
      </c>
      <c r="AS17" s="52" t="str">
        <f t="shared" si="3"/>
        <v/>
      </c>
      <c r="AT17" s="54" t="str">
        <f t="shared" si="11"/>
        <v/>
      </c>
      <c r="AU17" s="53" t="str">
        <f t="shared" si="4"/>
        <v/>
      </c>
      <c r="AV17" s="52" t="str">
        <f t="shared" si="5"/>
        <v/>
      </c>
      <c r="AW17" s="53" t="str">
        <f t="shared" si="6"/>
        <v/>
      </c>
      <c r="AX17" s="46">
        <f t="shared" si="7"/>
        <v>0</v>
      </c>
    </row>
    <row r="18" spans="1:50" ht="23.1" customHeight="1" x14ac:dyDescent="0.15">
      <c r="A18" s="13">
        <v>8</v>
      </c>
      <c r="B18" s="5" t="s">
        <v>21</v>
      </c>
      <c r="C18" s="89"/>
      <c r="D18" s="90"/>
      <c r="E18" s="18" t="s">
        <v>22</v>
      </c>
      <c r="F18" s="18"/>
      <c r="G18" s="18"/>
      <c r="H18" s="89"/>
      <c r="I18" s="90"/>
      <c r="J18" s="5" t="s">
        <v>23</v>
      </c>
      <c r="K18" s="5"/>
      <c r="L18" s="6" t="s">
        <v>21</v>
      </c>
      <c r="M18" s="71"/>
      <c r="N18" s="71"/>
      <c r="O18" s="29" t="s">
        <v>22</v>
      </c>
      <c r="P18" s="29"/>
      <c r="Q18" s="29"/>
      <c r="R18" s="71"/>
      <c r="S18" s="71"/>
      <c r="T18" s="30" t="s">
        <v>23</v>
      </c>
      <c r="U18" s="30"/>
      <c r="V18" s="31" t="s">
        <v>21</v>
      </c>
      <c r="W18" s="71"/>
      <c r="X18" s="71"/>
      <c r="Y18" s="29" t="s">
        <v>22</v>
      </c>
      <c r="Z18" s="29"/>
      <c r="AA18" s="29"/>
      <c r="AB18" s="71"/>
      <c r="AC18" s="71"/>
      <c r="AD18" s="8" t="s">
        <v>23</v>
      </c>
      <c r="AE18" s="8"/>
      <c r="AG18" s="46" t="str">
        <f t="shared" si="0"/>
        <v/>
      </c>
      <c r="AH18" s="47">
        <f t="shared" si="8"/>
        <v>0</v>
      </c>
      <c r="AI18" s="64">
        <f t="shared" si="1"/>
        <v>48</v>
      </c>
      <c r="AJ18" s="46">
        <f t="shared" si="9"/>
        <v>48</v>
      </c>
      <c r="AK18" s="46" t="str">
        <f>IF(AND($AH18&lt;AK$2,COUNT($AJ18:AJ18)=0),IF($K$3="1211",38-22.5*LOG10(AH18),44-27.5*LOG10(AH18)),"")</f>
        <v/>
      </c>
      <c r="AL18" s="46" t="str">
        <f>IF(AND($AH18&lt;AL$2,COUNT($AJ18:AK18)=0),0,"")</f>
        <v/>
      </c>
      <c r="AM18" s="46" t="str">
        <f>IF(AND($AH18&lt;AM$2,COUNT($AJ18:AL18)=0),IF($K$3="1211",67.5-0.75*AH18,58.5-0.65*AH18),"")</f>
        <v/>
      </c>
      <c r="AN18" s="46" t="str">
        <f>IF(AND($AH18&gt;=AN$2,COUNT($AJ18:AM18)=0),IF($K$3="1211",-13,-15),"")</f>
        <v/>
      </c>
      <c r="AP18" s="47">
        <f t="shared" si="10"/>
        <v>0</v>
      </c>
      <c r="AQ18" s="47">
        <f t="shared" si="2"/>
        <v>0</v>
      </c>
      <c r="AR18" s="53" t="str">
        <f t="shared" si="12"/>
        <v/>
      </c>
      <c r="AS18" s="52" t="str">
        <f t="shared" si="3"/>
        <v/>
      </c>
      <c r="AT18" s="54" t="str">
        <f t="shared" si="11"/>
        <v/>
      </c>
      <c r="AU18" s="53" t="str">
        <f t="shared" si="4"/>
        <v/>
      </c>
      <c r="AV18" s="52" t="str">
        <f t="shared" si="5"/>
        <v/>
      </c>
      <c r="AW18" s="53" t="str">
        <f t="shared" si="6"/>
        <v/>
      </c>
      <c r="AX18" s="46">
        <f t="shared" si="7"/>
        <v>0</v>
      </c>
    </row>
    <row r="19" spans="1:50" ht="23.1" customHeight="1" x14ac:dyDescent="0.15">
      <c r="A19" s="13">
        <v>9</v>
      </c>
      <c r="B19" s="5" t="s">
        <v>21</v>
      </c>
      <c r="C19" s="89"/>
      <c r="D19" s="90"/>
      <c r="E19" s="18" t="s">
        <v>22</v>
      </c>
      <c r="F19" s="18"/>
      <c r="G19" s="18"/>
      <c r="H19" s="89"/>
      <c r="I19" s="90"/>
      <c r="J19" s="5" t="s">
        <v>23</v>
      </c>
      <c r="K19" s="5"/>
      <c r="L19" s="6" t="s">
        <v>21</v>
      </c>
      <c r="M19" s="71"/>
      <c r="N19" s="71"/>
      <c r="O19" s="29" t="s">
        <v>22</v>
      </c>
      <c r="P19" s="29"/>
      <c r="Q19" s="29"/>
      <c r="R19" s="71"/>
      <c r="S19" s="71"/>
      <c r="T19" s="30" t="s">
        <v>23</v>
      </c>
      <c r="U19" s="30"/>
      <c r="V19" s="31" t="s">
        <v>21</v>
      </c>
      <c r="W19" s="71"/>
      <c r="X19" s="71"/>
      <c r="Y19" s="29" t="s">
        <v>22</v>
      </c>
      <c r="Z19" s="29"/>
      <c r="AA19" s="29"/>
      <c r="AB19" s="71"/>
      <c r="AC19" s="71"/>
      <c r="AD19" s="8" t="s">
        <v>23</v>
      </c>
      <c r="AE19" s="8"/>
      <c r="AG19" s="46" t="str">
        <f t="shared" si="0"/>
        <v/>
      </c>
      <c r="AH19" s="47">
        <f t="shared" si="8"/>
        <v>0</v>
      </c>
      <c r="AI19" s="64">
        <f t="shared" si="1"/>
        <v>48</v>
      </c>
      <c r="AJ19" s="46">
        <f t="shared" si="9"/>
        <v>48</v>
      </c>
      <c r="AK19" s="46" t="str">
        <f>IF(AND($AH19&lt;AK$2,COUNT($AJ19:AJ19)=0),IF($K$3="1211",38-22.5*LOG10(AH19),44-27.5*LOG10(AH19)),"")</f>
        <v/>
      </c>
      <c r="AL19" s="46" t="str">
        <f>IF(AND($AH19&lt;AL$2,COUNT($AJ19:AK19)=0),0,"")</f>
        <v/>
      </c>
      <c r="AM19" s="46" t="str">
        <f>IF(AND($AH19&lt;AM$2,COUNT($AJ19:AL19)=0),IF($K$3="1211",67.5-0.75*AH19,58.5-0.65*AH19),"")</f>
        <v/>
      </c>
      <c r="AN19" s="46" t="str">
        <f>IF(AND($AH19&gt;=AN$2,COUNT($AJ19:AM19)=0),IF($K$3="1211",-13,-15),"")</f>
        <v/>
      </c>
      <c r="AP19" s="47">
        <f t="shared" si="10"/>
        <v>0</v>
      </c>
      <c r="AQ19" s="47">
        <f t="shared" si="2"/>
        <v>0</v>
      </c>
      <c r="AR19" s="53" t="str">
        <f t="shared" si="12"/>
        <v/>
      </c>
      <c r="AS19" s="52" t="str">
        <f t="shared" si="3"/>
        <v/>
      </c>
      <c r="AT19" s="54" t="str">
        <f t="shared" si="11"/>
        <v/>
      </c>
      <c r="AU19" s="53" t="str">
        <f t="shared" si="4"/>
        <v/>
      </c>
      <c r="AV19" s="52" t="str">
        <f t="shared" si="5"/>
        <v/>
      </c>
      <c r="AW19" s="53" t="str">
        <f t="shared" si="6"/>
        <v/>
      </c>
      <c r="AX19" s="46">
        <f t="shared" si="7"/>
        <v>0</v>
      </c>
    </row>
    <row r="20" spans="1:50" ht="23.1" customHeight="1" x14ac:dyDescent="0.15">
      <c r="A20" s="13">
        <v>10</v>
      </c>
      <c r="B20" s="5" t="s">
        <v>21</v>
      </c>
      <c r="C20" s="89"/>
      <c r="D20" s="90"/>
      <c r="E20" s="18" t="s">
        <v>22</v>
      </c>
      <c r="F20" s="18"/>
      <c r="G20" s="18"/>
      <c r="H20" s="89"/>
      <c r="I20" s="90"/>
      <c r="J20" s="5" t="s">
        <v>23</v>
      </c>
      <c r="K20" s="5"/>
      <c r="L20" s="6" t="s">
        <v>21</v>
      </c>
      <c r="M20" s="71"/>
      <c r="N20" s="71"/>
      <c r="O20" s="29" t="s">
        <v>22</v>
      </c>
      <c r="P20" s="29"/>
      <c r="Q20" s="29"/>
      <c r="R20" s="71"/>
      <c r="S20" s="71"/>
      <c r="T20" s="30" t="s">
        <v>23</v>
      </c>
      <c r="U20" s="30"/>
      <c r="V20" s="31" t="s">
        <v>21</v>
      </c>
      <c r="W20" s="71"/>
      <c r="X20" s="71"/>
      <c r="Y20" s="29" t="s">
        <v>22</v>
      </c>
      <c r="Z20" s="29"/>
      <c r="AA20" s="29"/>
      <c r="AB20" s="71"/>
      <c r="AC20" s="71"/>
      <c r="AD20" s="8" t="s">
        <v>23</v>
      </c>
      <c r="AE20" s="8"/>
      <c r="AG20" s="46" t="str">
        <f t="shared" si="0"/>
        <v/>
      </c>
      <c r="AH20" s="47">
        <f t="shared" si="8"/>
        <v>0</v>
      </c>
      <c r="AI20" s="64">
        <f t="shared" si="1"/>
        <v>48</v>
      </c>
      <c r="AJ20" s="46">
        <f t="shared" si="9"/>
        <v>48</v>
      </c>
      <c r="AK20" s="46" t="str">
        <f>IF(AND($AH20&lt;AK$2,COUNT($AJ20:AJ20)=0),IF($K$3="1211",38-22.5*LOG10(AH20),44-27.5*LOG10(AH20)),"")</f>
        <v/>
      </c>
      <c r="AL20" s="46" t="str">
        <f>IF(AND($AH20&lt;AL$2,COUNT($AJ20:AK20)=0),0,"")</f>
        <v/>
      </c>
      <c r="AM20" s="46" t="str">
        <f>IF(AND($AH20&lt;AM$2,COUNT($AJ20:AL20)=0),IF($K$3="1211",67.5-0.75*AH20,58.5-0.65*AH20),"")</f>
        <v/>
      </c>
      <c r="AN20" s="46" t="str">
        <f>IF(AND($AH20&gt;=AN$2,COUNT($AJ20:AM20)=0),IF($K$3="1211",-13,-15),"")</f>
        <v/>
      </c>
      <c r="AP20" s="47">
        <f t="shared" si="10"/>
        <v>0</v>
      </c>
      <c r="AQ20" s="47">
        <f t="shared" si="2"/>
        <v>0</v>
      </c>
      <c r="AR20" s="53" t="str">
        <f t="shared" si="12"/>
        <v/>
      </c>
      <c r="AS20" s="52" t="str">
        <f t="shared" si="3"/>
        <v/>
      </c>
      <c r="AT20" s="54" t="str">
        <f t="shared" si="11"/>
        <v/>
      </c>
      <c r="AU20" s="53" t="str">
        <f t="shared" si="4"/>
        <v/>
      </c>
      <c r="AV20" s="52" t="str">
        <f t="shared" si="5"/>
        <v/>
      </c>
      <c r="AW20" s="53" t="str">
        <f t="shared" si="6"/>
        <v/>
      </c>
      <c r="AX20" s="46">
        <f t="shared" si="7"/>
        <v>0</v>
      </c>
    </row>
    <row r="21" spans="1:50" ht="23.1" customHeight="1" x14ac:dyDescent="0.15">
      <c r="A21" s="13">
        <v>11</v>
      </c>
      <c r="B21" s="5" t="s">
        <v>21</v>
      </c>
      <c r="C21" s="89"/>
      <c r="D21" s="90"/>
      <c r="E21" s="18" t="s">
        <v>22</v>
      </c>
      <c r="F21" s="18"/>
      <c r="G21" s="18"/>
      <c r="H21" s="89"/>
      <c r="I21" s="90"/>
      <c r="J21" s="5" t="s">
        <v>23</v>
      </c>
      <c r="K21" s="5"/>
      <c r="L21" s="6" t="s">
        <v>21</v>
      </c>
      <c r="M21" s="71"/>
      <c r="N21" s="71"/>
      <c r="O21" s="29" t="s">
        <v>22</v>
      </c>
      <c r="P21" s="29"/>
      <c r="Q21" s="29"/>
      <c r="R21" s="71"/>
      <c r="S21" s="71"/>
      <c r="T21" s="30" t="s">
        <v>23</v>
      </c>
      <c r="U21" s="30"/>
      <c r="V21" s="31" t="s">
        <v>21</v>
      </c>
      <c r="W21" s="71"/>
      <c r="X21" s="71"/>
      <c r="Y21" s="29" t="s">
        <v>22</v>
      </c>
      <c r="Z21" s="29"/>
      <c r="AA21" s="29"/>
      <c r="AB21" s="71"/>
      <c r="AC21" s="71"/>
      <c r="AD21" s="8" t="s">
        <v>23</v>
      </c>
      <c r="AE21" s="8"/>
      <c r="AG21" s="46" t="str">
        <f t="shared" si="0"/>
        <v/>
      </c>
      <c r="AH21" s="47">
        <f t="shared" si="8"/>
        <v>0</v>
      </c>
      <c r="AI21" s="64">
        <f t="shared" si="1"/>
        <v>48</v>
      </c>
      <c r="AJ21" s="46">
        <f t="shared" si="9"/>
        <v>48</v>
      </c>
      <c r="AK21" s="46" t="str">
        <f>IF(AND($AH21&lt;AK$2,COUNT($AJ21:AJ21)=0),IF($K$3="1211",38-22.5*LOG10(AH21),44-27.5*LOG10(AH21)),"")</f>
        <v/>
      </c>
      <c r="AL21" s="46" t="str">
        <f>IF(AND($AH21&lt;AL$2,COUNT($AJ21:AK21)=0),0,"")</f>
        <v/>
      </c>
      <c r="AM21" s="46" t="str">
        <f>IF(AND($AH21&lt;AM$2,COUNT($AJ21:AL21)=0),IF($K$3="1211",67.5-0.75*AH21,58.5-0.65*AH21),"")</f>
        <v/>
      </c>
      <c r="AN21" s="46" t="str">
        <f>IF(AND($AH21&gt;=AN$2,COUNT($AJ21:AM21)=0),IF($K$3="1211",-13,-15),"")</f>
        <v/>
      </c>
      <c r="AP21" s="47">
        <f t="shared" si="10"/>
        <v>0</v>
      </c>
      <c r="AQ21" s="47">
        <f t="shared" si="2"/>
        <v>0</v>
      </c>
      <c r="AR21" s="53" t="str">
        <f t="shared" si="12"/>
        <v/>
      </c>
      <c r="AS21" s="52" t="str">
        <f t="shared" si="3"/>
        <v/>
      </c>
      <c r="AT21" s="54" t="str">
        <f t="shared" si="11"/>
        <v/>
      </c>
      <c r="AU21" s="53" t="str">
        <f t="shared" si="4"/>
        <v/>
      </c>
      <c r="AV21" s="52" t="str">
        <f t="shared" si="5"/>
        <v/>
      </c>
      <c r="AW21" s="53" t="str">
        <f t="shared" si="6"/>
        <v/>
      </c>
      <c r="AX21" s="46">
        <f t="shared" si="7"/>
        <v>0</v>
      </c>
    </row>
    <row r="22" spans="1:50" ht="23.1" customHeight="1" x14ac:dyDescent="0.15">
      <c r="A22" s="13">
        <v>12</v>
      </c>
      <c r="B22" s="5" t="s">
        <v>21</v>
      </c>
      <c r="C22" s="89"/>
      <c r="D22" s="90"/>
      <c r="E22" s="18" t="s">
        <v>22</v>
      </c>
      <c r="F22" s="18"/>
      <c r="G22" s="18"/>
      <c r="H22" s="89"/>
      <c r="I22" s="90"/>
      <c r="J22" s="5" t="s">
        <v>23</v>
      </c>
      <c r="K22" s="5"/>
      <c r="L22" s="6" t="s">
        <v>21</v>
      </c>
      <c r="M22" s="71"/>
      <c r="N22" s="71"/>
      <c r="O22" s="29" t="s">
        <v>22</v>
      </c>
      <c r="P22" s="29"/>
      <c r="Q22" s="29"/>
      <c r="R22" s="71"/>
      <c r="S22" s="71"/>
      <c r="T22" s="30" t="s">
        <v>23</v>
      </c>
      <c r="U22" s="30"/>
      <c r="V22" s="31" t="s">
        <v>21</v>
      </c>
      <c r="W22" s="71"/>
      <c r="X22" s="71"/>
      <c r="Y22" s="29" t="s">
        <v>22</v>
      </c>
      <c r="Z22" s="29"/>
      <c r="AA22" s="29"/>
      <c r="AB22" s="71"/>
      <c r="AC22" s="71"/>
      <c r="AD22" s="8" t="s">
        <v>23</v>
      </c>
      <c r="AE22" s="8"/>
      <c r="AG22" s="46" t="str">
        <f t="shared" si="0"/>
        <v/>
      </c>
      <c r="AH22" s="47">
        <f t="shared" si="8"/>
        <v>0</v>
      </c>
      <c r="AI22" s="64">
        <f t="shared" si="1"/>
        <v>48</v>
      </c>
      <c r="AJ22" s="46">
        <f t="shared" si="9"/>
        <v>48</v>
      </c>
      <c r="AK22" s="46" t="str">
        <f>IF(AND($AH22&lt;AK$2,COUNT($AJ22:AJ22)=0),IF($K$3="1211",38-22.5*LOG10(AH22),44-27.5*LOG10(AH22)),"")</f>
        <v/>
      </c>
      <c r="AL22" s="46" t="str">
        <f>IF(AND($AH22&lt;AL$2,COUNT($AJ22:AK22)=0),0,"")</f>
        <v/>
      </c>
      <c r="AM22" s="46" t="str">
        <f>IF(AND($AH22&lt;AM$2,COUNT($AJ22:AL22)=0),IF($K$3="1211",67.5-0.75*AH22,58.5-0.65*AH22),"")</f>
        <v/>
      </c>
      <c r="AN22" s="46" t="str">
        <f>IF(AND($AH22&gt;=AN$2,COUNT($AJ22:AM22)=0),IF($K$3="1211",-13,-15),"")</f>
        <v/>
      </c>
      <c r="AP22" s="47">
        <f t="shared" si="10"/>
        <v>0</v>
      </c>
      <c r="AQ22" s="47">
        <f t="shared" si="2"/>
        <v>0</v>
      </c>
      <c r="AR22" s="53" t="str">
        <f t="shared" si="12"/>
        <v/>
      </c>
      <c r="AS22" s="52" t="str">
        <f t="shared" si="3"/>
        <v/>
      </c>
      <c r="AT22" s="54" t="str">
        <f t="shared" si="11"/>
        <v/>
      </c>
      <c r="AU22" s="53" t="str">
        <f t="shared" si="4"/>
        <v/>
      </c>
      <c r="AV22" s="52" t="str">
        <f t="shared" si="5"/>
        <v/>
      </c>
      <c r="AW22" s="53" t="str">
        <f t="shared" si="6"/>
        <v/>
      </c>
      <c r="AX22" s="46">
        <f t="shared" si="7"/>
        <v>0</v>
      </c>
    </row>
    <row r="23" spans="1:50" ht="23.1" customHeight="1" thickBot="1" x14ac:dyDescent="0.2">
      <c r="A23" s="14">
        <v>13</v>
      </c>
      <c r="B23" s="15" t="s">
        <v>21</v>
      </c>
      <c r="C23" s="107"/>
      <c r="D23" s="108"/>
      <c r="E23" s="19" t="s">
        <v>22</v>
      </c>
      <c r="F23" s="19"/>
      <c r="G23" s="19"/>
      <c r="H23" s="107"/>
      <c r="I23" s="108"/>
      <c r="J23" s="15" t="s">
        <v>23</v>
      </c>
      <c r="K23" s="15"/>
      <c r="L23" s="21" t="s">
        <v>21</v>
      </c>
      <c r="M23" s="132"/>
      <c r="N23" s="132"/>
      <c r="O23" s="32" t="s">
        <v>22</v>
      </c>
      <c r="P23" s="32"/>
      <c r="Q23" s="32"/>
      <c r="R23" s="132"/>
      <c r="S23" s="132"/>
      <c r="T23" s="33" t="s">
        <v>23</v>
      </c>
      <c r="U23" s="33"/>
      <c r="V23" s="34" t="s">
        <v>21</v>
      </c>
      <c r="W23" s="132"/>
      <c r="X23" s="132"/>
      <c r="Y23" s="32" t="s">
        <v>22</v>
      </c>
      <c r="Z23" s="32"/>
      <c r="AA23" s="32"/>
      <c r="AB23" s="132"/>
      <c r="AC23" s="132"/>
      <c r="AD23" s="25" t="s">
        <v>23</v>
      </c>
      <c r="AE23" s="25"/>
      <c r="AG23" s="46" t="str">
        <f t="shared" si="0"/>
        <v/>
      </c>
      <c r="AH23" s="47">
        <f t="shared" si="8"/>
        <v>0</v>
      </c>
      <c r="AI23" s="64">
        <f t="shared" si="1"/>
        <v>48</v>
      </c>
      <c r="AJ23" s="46">
        <f t="shared" si="9"/>
        <v>48</v>
      </c>
      <c r="AK23" s="46" t="str">
        <f>IF(AND($AH23&lt;AK$2,COUNT($AJ23:AJ23)=0),IF($K$3="1211",38-22.5*LOG10(AH23),44-27.5*LOG10(AH23)),"")</f>
        <v/>
      </c>
      <c r="AL23" s="46" t="str">
        <f>IF(AND($AH23&lt;AL$2,COUNT($AJ23:AK23)=0),0,"")</f>
        <v/>
      </c>
      <c r="AM23" s="46" t="str">
        <f>IF(AND($AH23&lt;AM$2,COUNT($AJ23:AL23)=0),IF($K$3="1211",67.5-0.75*AH23,58.5-0.65*AH23),"")</f>
        <v/>
      </c>
      <c r="AN23" s="46" t="str">
        <f>IF(AND($AH23&gt;=AN$2,COUNT($AJ23:AM23)=0),IF($K$3="1211",-13,-15),"")</f>
        <v/>
      </c>
      <c r="AP23" s="47">
        <f t="shared" si="10"/>
        <v>0</v>
      </c>
      <c r="AQ23" s="47">
        <f t="shared" si="2"/>
        <v>0</v>
      </c>
      <c r="AR23" s="53" t="str">
        <f t="shared" si="12"/>
        <v/>
      </c>
      <c r="AS23" s="52" t="str">
        <f t="shared" si="3"/>
        <v/>
      </c>
      <c r="AT23" s="54" t="str">
        <f t="shared" si="11"/>
        <v/>
      </c>
      <c r="AU23" s="53" t="str">
        <f t="shared" si="4"/>
        <v/>
      </c>
      <c r="AV23" s="52" t="str">
        <f t="shared" si="5"/>
        <v/>
      </c>
      <c r="AW23" s="53" t="str">
        <f t="shared" si="6"/>
        <v/>
      </c>
      <c r="AX23" s="46">
        <f t="shared" si="7"/>
        <v>0</v>
      </c>
    </row>
    <row r="24" spans="1:50" ht="23.1" customHeight="1" thickTop="1" x14ac:dyDescent="0.15">
      <c r="A24" s="16">
        <v>14</v>
      </c>
      <c r="B24" s="17" t="s">
        <v>21</v>
      </c>
      <c r="C24" s="109"/>
      <c r="D24" s="110"/>
      <c r="E24" s="20" t="s">
        <v>22</v>
      </c>
      <c r="F24" s="20"/>
      <c r="G24" s="20"/>
      <c r="H24" s="109"/>
      <c r="I24" s="110"/>
      <c r="J24" s="17" t="s">
        <v>23</v>
      </c>
      <c r="K24" s="17"/>
      <c r="L24" s="22" t="s">
        <v>21</v>
      </c>
      <c r="M24" s="133"/>
      <c r="N24" s="133"/>
      <c r="O24" s="35" t="s">
        <v>22</v>
      </c>
      <c r="P24" s="35"/>
      <c r="Q24" s="35"/>
      <c r="R24" s="133"/>
      <c r="S24" s="133"/>
      <c r="T24" s="36" t="s">
        <v>23</v>
      </c>
      <c r="U24" s="36"/>
      <c r="V24" s="37" t="s">
        <v>21</v>
      </c>
      <c r="W24" s="133"/>
      <c r="X24" s="133"/>
      <c r="Y24" s="35" t="s">
        <v>22</v>
      </c>
      <c r="Z24" s="35"/>
      <c r="AA24" s="35"/>
      <c r="AB24" s="133"/>
      <c r="AC24" s="133"/>
      <c r="AD24" s="26" t="s">
        <v>23</v>
      </c>
      <c r="AE24" s="26"/>
      <c r="AG24" s="46" t="str">
        <f t="shared" si="0"/>
        <v/>
      </c>
      <c r="AH24" s="47">
        <f t="shared" si="8"/>
        <v>0</v>
      </c>
      <c r="AI24" s="64">
        <f t="shared" si="1"/>
        <v>48</v>
      </c>
      <c r="AJ24" s="46">
        <f t="shared" si="9"/>
        <v>48</v>
      </c>
      <c r="AK24" s="46" t="str">
        <f>IF(AND($AH24&lt;AK$2,COUNT($AJ24:AJ24)=0),IF($K$3="1211",38-22.5*LOG10(AH24),44-27.5*LOG10(AH24)),"")</f>
        <v/>
      </c>
      <c r="AL24" s="46" t="str">
        <f>IF(AND($AH24&lt;AL$2,COUNT($AJ24:AK24)=0),0,"")</f>
        <v/>
      </c>
      <c r="AM24" s="46" t="str">
        <f>IF(AND($AH24&lt;AM$2,COUNT($AJ24:AL24)=0),IF($K$3="1211",67.5-0.75*AH24,58.5-0.65*AH24),"")</f>
        <v/>
      </c>
      <c r="AN24" s="46" t="str">
        <f>IF(AND($AH24&gt;=AN$2,COUNT($AJ24:AM24)=0),IF($K$3="1211",-13,-15),"")</f>
        <v/>
      </c>
      <c r="AP24" s="47">
        <f t="shared" si="10"/>
        <v>0</v>
      </c>
      <c r="AQ24" s="47">
        <f t="shared" si="2"/>
        <v>0</v>
      </c>
      <c r="AR24" s="53" t="str">
        <f t="shared" si="12"/>
        <v/>
      </c>
      <c r="AS24" s="52" t="str">
        <f t="shared" si="3"/>
        <v/>
      </c>
      <c r="AT24" s="54" t="str">
        <f t="shared" si="11"/>
        <v/>
      </c>
      <c r="AU24" s="53" t="str">
        <f t="shared" si="4"/>
        <v/>
      </c>
      <c r="AV24" s="52" t="str">
        <f t="shared" si="5"/>
        <v/>
      </c>
      <c r="AW24" s="53" t="str">
        <f t="shared" si="6"/>
        <v/>
      </c>
      <c r="AX24" s="46">
        <f t="shared" si="7"/>
        <v>0</v>
      </c>
    </row>
    <row r="25" spans="1:50" ht="23.1" customHeight="1" x14ac:dyDescent="0.15">
      <c r="A25" s="13">
        <v>15</v>
      </c>
      <c r="B25" s="5" t="s">
        <v>21</v>
      </c>
      <c r="C25" s="89"/>
      <c r="D25" s="90"/>
      <c r="E25" s="18" t="s">
        <v>22</v>
      </c>
      <c r="F25" s="18"/>
      <c r="G25" s="18"/>
      <c r="H25" s="89"/>
      <c r="I25" s="90"/>
      <c r="J25" s="5" t="s">
        <v>23</v>
      </c>
      <c r="K25" s="5"/>
      <c r="L25" s="6" t="s">
        <v>21</v>
      </c>
      <c r="M25" s="71"/>
      <c r="N25" s="71"/>
      <c r="O25" s="29" t="s">
        <v>22</v>
      </c>
      <c r="P25" s="29"/>
      <c r="Q25" s="29"/>
      <c r="R25" s="71"/>
      <c r="S25" s="71"/>
      <c r="T25" s="30" t="s">
        <v>23</v>
      </c>
      <c r="U25" s="30"/>
      <c r="V25" s="31" t="s">
        <v>21</v>
      </c>
      <c r="W25" s="71"/>
      <c r="X25" s="71"/>
      <c r="Y25" s="29" t="s">
        <v>22</v>
      </c>
      <c r="Z25" s="29"/>
      <c r="AA25" s="29"/>
      <c r="AB25" s="71"/>
      <c r="AC25" s="71"/>
      <c r="AD25" s="8" t="s">
        <v>23</v>
      </c>
      <c r="AE25" s="8"/>
      <c r="AG25" s="46" t="str">
        <f t="shared" si="0"/>
        <v/>
      </c>
      <c r="AH25" s="47">
        <f t="shared" si="8"/>
        <v>0</v>
      </c>
      <c r="AI25" s="64">
        <f t="shared" si="1"/>
        <v>48</v>
      </c>
      <c r="AJ25" s="46">
        <f t="shared" si="9"/>
        <v>48</v>
      </c>
      <c r="AK25" s="46" t="str">
        <f>IF(AND($AH25&lt;AK$2,COUNT($AJ25:AJ25)=0),IF($K$3="1211",38-22.5*LOG10(AH25),44-27.5*LOG10(AH25)),"")</f>
        <v/>
      </c>
      <c r="AL25" s="46" t="str">
        <f>IF(AND($AH25&lt;AL$2,COUNT($AJ25:AK25)=0),0,"")</f>
        <v/>
      </c>
      <c r="AM25" s="46" t="str">
        <f>IF(AND($AH25&lt;AM$2,COUNT($AJ25:AL25)=0),IF($K$3="1211",67.5-0.75*AH25,58.5-0.65*AH25),"")</f>
        <v/>
      </c>
      <c r="AN25" s="46" t="str">
        <f>IF(AND($AH25&gt;=AN$2,COUNT($AJ25:AM25)=0),IF($K$3="1211",-13,-15),"")</f>
        <v/>
      </c>
      <c r="AP25" s="47">
        <f t="shared" si="10"/>
        <v>0</v>
      </c>
      <c r="AQ25" s="47">
        <f t="shared" si="2"/>
        <v>0</v>
      </c>
      <c r="AR25" s="53" t="str">
        <f t="shared" si="12"/>
        <v/>
      </c>
      <c r="AS25" s="52" t="str">
        <f t="shared" si="3"/>
        <v/>
      </c>
      <c r="AT25" s="54" t="str">
        <f t="shared" si="11"/>
        <v/>
      </c>
      <c r="AU25" s="53" t="str">
        <f t="shared" si="4"/>
        <v/>
      </c>
      <c r="AV25" s="52" t="str">
        <f t="shared" si="5"/>
        <v/>
      </c>
      <c r="AW25" s="53" t="str">
        <f t="shared" si="6"/>
        <v/>
      </c>
      <c r="AX25" s="46">
        <f t="shared" si="7"/>
        <v>0</v>
      </c>
    </row>
    <row r="26" spans="1:50" ht="23.1" customHeight="1" x14ac:dyDescent="0.15">
      <c r="A26" s="13">
        <v>16</v>
      </c>
      <c r="B26" s="5" t="s">
        <v>21</v>
      </c>
      <c r="C26" s="89"/>
      <c r="D26" s="90"/>
      <c r="E26" s="18" t="s">
        <v>22</v>
      </c>
      <c r="F26" s="18"/>
      <c r="G26" s="18"/>
      <c r="H26" s="89"/>
      <c r="I26" s="90"/>
      <c r="J26" s="5" t="s">
        <v>23</v>
      </c>
      <c r="K26" s="5"/>
      <c r="L26" s="6" t="s">
        <v>21</v>
      </c>
      <c r="M26" s="71"/>
      <c r="N26" s="71"/>
      <c r="O26" s="29" t="s">
        <v>22</v>
      </c>
      <c r="P26" s="29"/>
      <c r="Q26" s="29"/>
      <c r="R26" s="71"/>
      <c r="S26" s="71"/>
      <c r="T26" s="30" t="s">
        <v>23</v>
      </c>
      <c r="U26" s="30"/>
      <c r="V26" s="31" t="s">
        <v>21</v>
      </c>
      <c r="W26" s="71"/>
      <c r="X26" s="71"/>
      <c r="Y26" s="29" t="s">
        <v>22</v>
      </c>
      <c r="Z26" s="29"/>
      <c r="AA26" s="29"/>
      <c r="AB26" s="71"/>
      <c r="AC26" s="71"/>
      <c r="AD26" s="8" t="s">
        <v>23</v>
      </c>
      <c r="AE26" s="8"/>
      <c r="AG26" s="46" t="str">
        <f t="shared" si="0"/>
        <v/>
      </c>
      <c r="AH26" s="47">
        <f t="shared" si="8"/>
        <v>0</v>
      </c>
      <c r="AI26" s="64">
        <f t="shared" si="1"/>
        <v>48</v>
      </c>
      <c r="AJ26" s="46">
        <f t="shared" si="9"/>
        <v>48</v>
      </c>
      <c r="AK26" s="46" t="str">
        <f>IF(AND($AH26&lt;AK$2,COUNT($AJ26:AJ26)=0),IF($K$3="1211",38-22.5*LOG10(AH26),44-27.5*LOG10(AH26)),"")</f>
        <v/>
      </c>
      <c r="AL26" s="46" t="str">
        <f>IF(AND($AH26&lt;AL$2,COUNT($AJ26:AK26)=0),0,"")</f>
        <v/>
      </c>
      <c r="AM26" s="46" t="str">
        <f>IF(AND($AH26&lt;AM$2,COUNT($AJ26:AL26)=0),IF($K$3="1211",67.5-0.75*AH26,58.5-0.65*AH26),"")</f>
        <v/>
      </c>
      <c r="AN26" s="46" t="str">
        <f>IF(AND($AH26&gt;=AN$2,COUNT($AJ26:AM26)=0),IF($K$3="1211",-13,-15),"")</f>
        <v/>
      </c>
      <c r="AP26" s="47">
        <f t="shared" si="10"/>
        <v>0</v>
      </c>
      <c r="AQ26" s="47">
        <f t="shared" si="2"/>
        <v>0</v>
      </c>
      <c r="AR26" s="53" t="str">
        <f t="shared" si="12"/>
        <v>NG1</v>
      </c>
      <c r="AS26" s="52" t="str">
        <f t="shared" si="3"/>
        <v>65dB以下</v>
      </c>
      <c r="AT26" s="54">
        <f t="shared" si="11"/>
        <v>0</v>
      </c>
      <c r="AU26" s="53">
        <f t="shared" si="4"/>
        <v>110</v>
      </c>
      <c r="AV26" s="52">
        <f t="shared" si="5"/>
        <v>0</v>
      </c>
      <c r="AW26" s="53">
        <f t="shared" si="6"/>
        <v>0</v>
      </c>
      <c r="AX26" s="46">
        <f t="shared" si="7"/>
        <v>180</v>
      </c>
    </row>
    <row r="27" spans="1:50" ht="23.1" customHeight="1" x14ac:dyDescent="0.15">
      <c r="A27" s="13">
        <v>17</v>
      </c>
      <c r="B27" s="5" t="s">
        <v>21</v>
      </c>
      <c r="C27" s="89"/>
      <c r="D27" s="90"/>
      <c r="E27" s="18" t="s">
        <v>22</v>
      </c>
      <c r="F27" s="18"/>
      <c r="G27" s="18"/>
      <c r="H27" s="89"/>
      <c r="I27" s="90"/>
      <c r="J27" s="5" t="s">
        <v>23</v>
      </c>
      <c r="K27" s="5"/>
      <c r="L27" s="6" t="s">
        <v>21</v>
      </c>
      <c r="M27" s="71"/>
      <c r="N27" s="71"/>
      <c r="O27" s="29" t="s">
        <v>22</v>
      </c>
      <c r="P27" s="29"/>
      <c r="Q27" s="29"/>
      <c r="R27" s="71"/>
      <c r="S27" s="71"/>
      <c r="T27" s="30" t="s">
        <v>23</v>
      </c>
      <c r="U27" s="30"/>
      <c r="V27" s="31" t="s">
        <v>21</v>
      </c>
      <c r="W27" s="71"/>
      <c r="X27" s="71"/>
      <c r="Y27" s="29" t="s">
        <v>22</v>
      </c>
      <c r="Z27" s="29"/>
      <c r="AA27" s="29"/>
      <c r="AB27" s="71"/>
      <c r="AC27" s="71"/>
      <c r="AD27" s="8" t="s">
        <v>23</v>
      </c>
      <c r="AE27" s="8"/>
      <c r="AG27" s="46">
        <f t="shared" si="0"/>
        <v>-1</v>
      </c>
      <c r="AH27" s="47">
        <f t="shared" si="8"/>
        <v>180</v>
      </c>
      <c r="AI27" s="64">
        <f t="shared" si="1"/>
        <v>-15</v>
      </c>
      <c r="AJ27" s="46" t="str">
        <f t="shared" si="9"/>
        <v/>
      </c>
      <c r="AK27" s="46" t="str">
        <f>IF(AND($AH27&lt;AK$2,COUNT($AJ27:AJ27)=0),IF($K$3="1211",38-22.5*LOG10(AH27),44-27.5*LOG10(AH27)),"")</f>
        <v/>
      </c>
      <c r="AL27" s="46" t="str">
        <f>IF(AND($AH27&lt;AL$2,COUNT($AJ27:AK27)=0),0,"")</f>
        <v/>
      </c>
      <c r="AM27" s="46" t="str">
        <f>IF(AND($AH27&lt;AM$2,COUNT($AJ27:AL27)=0),IF($K$3="1211",67.5-0.75*AH27,58.5-0.65*AH27),"")</f>
        <v/>
      </c>
      <c r="AN27" s="46">
        <f>IF(AND($AH27&gt;=AN$2,COUNT($AJ27:AM27)=0),IF($K$3="1211",-13,-15),"")</f>
        <v>-15</v>
      </c>
      <c r="AP27" s="47">
        <f t="shared" si="10"/>
        <v>180</v>
      </c>
      <c r="AQ27" s="47">
        <f t="shared" si="2"/>
        <v>0</v>
      </c>
      <c r="AR27" s="53" t="str">
        <f t="shared" si="12"/>
        <v/>
      </c>
      <c r="AS27" s="52" t="str">
        <f t="shared" si="3"/>
        <v/>
      </c>
      <c r="AT27" s="54" t="str">
        <f t="shared" si="11"/>
        <v/>
      </c>
      <c r="AU27" s="53" t="str">
        <f t="shared" si="4"/>
        <v/>
      </c>
      <c r="AV27" s="52" t="str">
        <f>IF(AU27="","",FORECAST(AU27,AQ27:AQ27,AP27:AP27))</f>
        <v/>
      </c>
      <c r="AW27" s="53" t="str">
        <f t="shared" si="6"/>
        <v/>
      </c>
      <c r="AX27" s="46" t="str">
        <f t="shared" si="7"/>
        <v/>
      </c>
    </row>
    <row r="28" spans="1:50" ht="23.1" customHeight="1" x14ac:dyDescent="0.15">
      <c r="A28" s="13">
        <v>18</v>
      </c>
      <c r="B28" s="5" t="s">
        <v>21</v>
      </c>
      <c r="C28" s="89"/>
      <c r="D28" s="90"/>
      <c r="E28" s="18" t="s">
        <v>22</v>
      </c>
      <c r="F28" s="18"/>
      <c r="G28" s="18"/>
      <c r="H28" s="89"/>
      <c r="I28" s="90"/>
      <c r="J28" s="5" t="s">
        <v>23</v>
      </c>
      <c r="K28" s="5"/>
      <c r="L28" s="6" t="s">
        <v>21</v>
      </c>
      <c r="M28" s="71"/>
      <c r="N28" s="71"/>
      <c r="O28" s="29" t="s">
        <v>22</v>
      </c>
      <c r="P28" s="29"/>
      <c r="Q28" s="29"/>
      <c r="R28" s="71"/>
      <c r="S28" s="71"/>
      <c r="T28" s="30" t="s">
        <v>23</v>
      </c>
      <c r="U28" s="30"/>
      <c r="V28" s="31" t="s">
        <v>21</v>
      </c>
      <c r="W28" s="71"/>
      <c r="X28" s="71"/>
      <c r="Y28" s="29" t="s">
        <v>22</v>
      </c>
      <c r="Z28" s="29"/>
      <c r="AA28" s="29"/>
      <c r="AB28" s="71"/>
      <c r="AC28" s="71"/>
      <c r="AD28" s="8" t="s">
        <v>23</v>
      </c>
      <c r="AE28" s="8"/>
      <c r="AI28" s="1">
        <f>COUNTIF(AI3:AI27,"&lt;0")</f>
        <v>1</v>
      </c>
      <c r="AP28" s="1">
        <f>IF(COUNTIF(AP3:AP27,110)=0,110,IF(COUNTIF(AP3:AP27,170)=0,170,""))</f>
        <v>110</v>
      </c>
      <c r="AQ28" s="1">
        <f>IF(AP28="","",VLOOKUP(AP28,AU:AV,2,FALSE))</f>
        <v>0</v>
      </c>
    </row>
    <row r="29" spans="1:50" ht="23.1" customHeight="1" x14ac:dyDescent="0.15">
      <c r="A29" s="13">
        <v>19</v>
      </c>
      <c r="B29" s="5" t="s">
        <v>21</v>
      </c>
      <c r="C29" s="89"/>
      <c r="D29" s="90"/>
      <c r="E29" s="18" t="s">
        <v>22</v>
      </c>
      <c r="F29" s="18"/>
      <c r="G29" s="18"/>
      <c r="H29" s="89"/>
      <c r="I29" s="90"/>
      <c r="J29" s="5" t="s">
        <v>23</v>
      </c>
      <c r="K29" s="5"/>
      <c r="L29" s="6" t="s">
        <v>21</v>
      </c>
      <c r="M29" s="71"/>
      <c r="N29" s="71"/>
      <c r="O29" s="29" t="s">
        <v>22</v>
      </c>
      <c r="P29" s="29"/>
      <c r="Q29" s="29"/>
      <c r="R29" s="71"/>
      <c r="S29" s="71"/>
      <c r="T29" s="30" t="s">
        <v>23</v>
      </c>
      <c r="U29" s="30"/>
      <c r="V29" s="31" t="s">
        <v>21</v>
      </c>
      <c r="W29" s="71"/>
      <c r="X29" s="71"/>
      <c r="Y29" s="29" t="s">
        <v>22</v>
      </c>
      <c r="Z29" s="29"/>
      <c r="AA29" s="29"/>
      <c r="AB29" s="71"/>
      <c r="AC29" s="71"/>
      <c r="AD29" s="8" t="s">
        <v>23</v>
      </c>
      <c r="AE29" s="8"/>
      <c r="AI29" s="1">
        <f>IF(AI28&lt;&gt;0,VLOOKUP(-1,AG3:AI27,2,FALSE),"")</f>
        <v>180</v>
      </c>
      <c r="AP29" s="1">
        <f>IF(AND(AP28&lt;&gt;170,COUNTIF(AP3:AP27,170)=0),170,"")</f>
        <v>170</v>
      </c>
      <c r="AQ29" s="1" t="e">
        <f>IF(AP29="","",VLOOKUP(AP29,AU:AV,2,FALSE))</f>
        <v>#N/A</v>
      </c>
    </row>
    <row r="30" spans="1:50" ht="23.1" customHeight="1" x14ac:dyDescent="0.15">
      <c r="A30" s="13">
        <v>20</v>
      </c>
      <c r="B30" s="5" t="s">
        <v>21</v>
      </c>
      <c r="C30" s="89"/>
      <c r="D30" s="90"/>
      <c r="E30" s="18" t="s">
        <v>22</v>
      </c>
      <c r="F30" s="18"/>
      <c r="G30" s="18"/>
      <c r="H30" s="89"/>
      <c r="I30" s="90"/>
      <c r="J30" s="5" t="s">
        <v>23</v>
      </c>
      <c r="K30" s="5"/>
      <c r="L30" s="6" t="s">
        <v>21</v>
      </c>
      <c r="M30" s="71"/>
      <c r="N30" s="71"/>
      <c r="O30" s="29" t="s">
        <v>22</v>
      </c>
      <c r="P30" s="29"/>
      <c r="Q30" s="29"/>
      <c r="R30" s="71"/>
      <c r="S30" s="71"/>
      <c r="T30" s="30" t="s">
        <v>23</v>
      </c>
      <c r="U30" s="30"/>
      <c r="V30" s="31" t="s">
        <v>21</v>
      </c>
      <c r="W30" s="71"/>
      <c r="X30" s="71"/>
      <c r="Y30" s="29" t="s">
        <v>22</v>
      </c>
      <c r="Z30" s="29"/>
      <c r="AA30" s="29"/>
      <c r="AB30" s="71"/>
      <c r="AC30" s="71"/>
      <c r="AD30" s="8" t="s">
        <v>23</v>
      </c>
      <c r="AE30" s="8"/>
      <c r="AI30" s="1">
        <f>IF(AI28&lt;&gt;0,VLOOKUP(-1,AG3:AI27,3,FALSE),"")</f>
        <v>-15</v>
      </c>
    </row>
    <row r="31" spans="1:50" ht="23.1" customHeight="1" x14ac:dyDescent="0.15">
      <c r="A31" s="13">
        <v>21</v>
      </c>
      <c r="B31" s="5" t="s">
        <v>21</v>
      </c>
      <c r="C31" s="89"/>
      <c r="D31" s="90"/>
      <c r="E31" s="18" t="s">
        <v>22</v>
      </c>
      <c r="F31" s="18"/>
      <c r="G31" s="18"/>
      <c r="H31" s="89"/>
      <c r="I31" s="90"/>
      <c r="J31" s="5" t="s">
        <v>23</v>
      </c>
      <c r="K31" s="5"/>
      <c r="L31" s="6" t="s">
        <v>21</v>
      </c>
      <c r="M31" s="71"/>
      <c r="N31" s="71"/>
      <c r="O31" s="29" t="s">
        <v>22</v>
      </c>
      <c r="P31" s="29"/>
      <c r="Q31" s="29"/>
      <c r="R31" s="71"/>
      <c r="S31" s="71"/>
      <c r="T31" s="30" t="s">
        <v>23</v>
      </c>
      <c r="U31" s="30"/>
      <c r="V31" s="31" t="s">
        <v>21</v>
      </c>
      <c r="W31" s="71"/>
      <c r="X31" s="71"/>
      <c r="Y31" s="29" t="s">
        <v>22</v>
      </c>
      <c r="Z31" s="29"/>
      <c r="AA31" s="29"/>
      <c r="AB31" s="71"/>
      <c r="AC31" s="71"/>
      <c r="AD31" s="8" t="s">
        <v>23</v>
      </c>
      <c r="AE31" s="8"/>
    </row>
    <row r="32" spans="1:50" ht="23.1" customHeight="1" x14ac:dyDescent="0.15">
      <c r="A32" s="13">
        <v>22</v>
      </c>
      <c r="B32" s="5" t="s">
        <v>21</v>
      </c>
      <c r="C32" s="89"/>
      <c r="D32" s="90"/>
      <c r="E32" s="18" t="s">
        <v>22</v>
      </c>
      <c r="F32" s="18"/>
      <c r="G32" s="18"/>
      <c r="H32" s="89"/>
      <c r="I32" s="90"/>
      <c r="J32" s="5" t="s">
        <v>23</v>
      </c>
      <c r="K32" s="5"/>
      <c r="L32" s="6" t="s">
        <v>21</v>
      </c>
      <c r="M32" s="71"/>
      <c r="N32" s="71"/>
      <c r="O32" s="29" t="s">
        <v>22</v>
      </c>
      <c r="P32" s="29"/>
      <c r="Q32" s="29"/>
      <c r="R32" s="71"/>
      <c r="S32" s="71"/>
      <c r="T32" s="30" t="s">
        <v>23</v>
      </c>
      <c r="U32" s="30"/>
      <c r="V32" s="31" t="s">
        <v>21</v>
      </c>
      <c r="W32" s="71"/>
      <c r="X32" s="71"/>
      <c r="Y32" s="29" t="s">
        <v>22</v>
      </c>
      <c r="Z32" s="29"/>
      <c r="AA32" s="29"/>
      <c r="AB32" s="71"/>
      <c r="AC32" s="71"/>
      <c r="AD32" s="8" t="s">
        <v>23</v>
      </c>
      <c r="AE32" s="8"/>
    </row>
    <row r="33" spans="1:31" ht="23.1" customHeight="1" x14ac:dyDescent="0.15">
      <c r="A33" s="13">
        <v>23</v>
      </c>
      <c r="B33" s="5" t="s">
        <v>21</v>
      </c>
      <c r="C33" s="89"/>
      <c r="D33" s="90"/>
      <c r="E33" s="18" t="s">
        <v>22</v>
      </c>
      <c r="F33" s="18"/>
      <c r="G33" s="18"/>
      <c r="H33" s="89"/>
      <c r="I33" s="90"/>
      <c r="J33" s="5" t="s">
        <v>23</v>
      </c>
      <c r="K33" s="5"/>
      <c r="L33" s="6" t="s">
        <v>21</v>
      </c>
      <c r="M33" s="71"/>
      <c r="N33" s="71"/>
      <c r="O33" s="29" t="s">
        <v>22</v>
      </c>
      <c r="P33" s="29"/>
      <c r="Q33" s="29"/>
      <c r="R33" s="71"/>
      <c r="S33" s="71"/>
      <c r="T33" s="30" t="s">
        <v>23</v>
      </c>
      <c r="U33" s="30"/>
      <c r="V33" s="31" t="s">
        <v>21</v>
      </c>
      <c r="W33" s="71"/>
      <c r="X33" s="71"/>
      <c r="Y33" s="29" t="s">
        <v>22</v>
      </c>
      <c r="Z33" s="29"/>
      <c r="AA33" s="29"/>
      <c r="AB33" s="71"/>
      <c r="AC33" s="71"/>
      <c r="AD33" s="8" t="s">
        <v>23</v>
      </c>
      <c r="AE33" s="8"/>
    </row>
    <row r="34" spans="1:31" ht="23.1" customHeight="1" x14ac:dyDescent="0.15">
      <c r="A34" s="13">
        <v>24</v>
      </c>
      <c r="B34" s="5" t="s">
        <v>21</v>
      </c>
      <c r="C34" s="89"/>
      <c r="D34" s="90"/>
      <c r="E34" s="18" t="s">
        <v>22</v>
      </c>
      <c r="F34" s="18"/>
      <c r="G34" s="18"/>
      <c r="H34" s="89"/>
      <c r="I34" s="90"/>
      <c r="J34" s="5" t="s">
        <v>23</v>
      </c>
      <c r="K34" s="5"/>
      <c r="L34" s="6" t="s">
        <v>21</v>
      </c>
      <c r="M34" s="71"/>
      <c r="N34" s="71"/>
      <c r="O34" s="29" t="s">
        <v>22</v>
      </c>
      <c r="P34" s="29"/>
      <c r="Q34" s="29"/>
      <c r="R34" s="71"/>
      <c r="S34" s="71"/>
      <c r="T34" s="30" t="s">
        <v>23</v>
      </c>
      <c r="U34" s="30"/>
      <c r="V34" s="31" t="s">
        <v>21</v>
      </c>
      <c r="W34" s="71"/>
      <c r="X34" s="71"/>
      <c r="Y34" s="29" t="s">
        <v>22</v>
      </c>
      <c r="Z34" s="29"/>
      <c r="AA34" s="29"/>
      <c r="AB34" s="71"/>
      <c r="AC34" s="71"/>
      <c r="AD34" s="8" t="s">
        <v>23</v>
      </c>
      <c r="AE34" s="8"/>
    </row>
    <row r="35" spans="1:31" ht="23.1" customHeight="1" thickBot="1" x14ac:dyDescent="0.2">
      <c r="A35" s="11">
        <v>25</v>
      </c>
      <c r="B35" s="9" t="s">
        <v>21</v>
      </c>
      <c r="C35" s="127">
        <v>180</v>
      </c>
      <c r="D35" s="128"/>
      <c r="E35" s="9" t="s">
        <v>22</v>
      </c>
      <c r="F35" s="9"/>
      <c r="G35" s="9"/>
      <c r="H35" s="129"/>
      <c r="I35" s="130"/>
      <c r="J35" s="9" t="s">
        <v>23</v>
      </c>
      <c r="K35" s="9"/>
      <c r="L35" s="23" t="s">
        <v>21</v>
      </c>
      <c r="M35" s="131"/>
      <c r="N35" s="131"/>
      <c r="O35" s="38" t="s">
        <v>22</v>
      </c>
      <c r="P35" s="38"/>
      <c r="Q35" s="38"/>
      <c r="R35" s="131"/>
      <c r="S35" s="131"/>
      <c r="T35" s="39" t="s">
        <v>23</v>
      </c>
      <c r="U35" s="39"/>
      <c r="V35" s="38" t="s">
        <v>21</v>
      </c>
      <c r="W35" s="131"/>
      <c r="X35" s="131"/>
      <c r="Y35" s="38" t="s">
        <v>22</v>
      </c>
      <c r="Z35" s="38"/>
      <c r="AA35" s="38"/>
      <c r="AB35" s="131"/>
      <c r="AC35" s="131"/>
      <c r="AD35" s="10" t="s">
        <v>23</v>
      </c>
      <c r="AE35" s="10"/>
    </row>
    <row r="36" spans="1:31" ht="30.75" customHeight="1" x14ac:dyDescent="0.15">
      <c r="I36" s="134" t="str">
        <f>IF(MAX(C11:D35)&lt;180,"エラー：180度の減衰量記入は必須です",IF(AI28&lt;&gt;0,AI29 &amp; "°で標準受信空中線特性を満足しません（ﾏｰｼﾞﾝ："&amp;AI30&amp;"）",IF(COUNTIF(AR:AR,"NG1")+COUNTIF(AR:AR,"NG2")&gt;0,"注：このF/B特性では128QAMで使用できません（印刷範囲外参照）","")))</f>
        <v>180°で標準受信空中線特性を満足しません（ﾏｰｼﾞﾝ：-15）</v>
      </c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6"/>
    </row>
    <row r="37" spans="1:31" x14ac:dyDescent="0.15">
      <c r="I37" s="63"/>
    </row>
  </sheetData>
  <sheetProtection password="9091" sheet="1"/>
  <mergeCells count="192">
    <mergeCell ref="I36:AE36"/>
    <mergeCell ref="A2:D2"/>
    <mergeCell ref="U4:X4"/>
    <mergeCell ref="Y4:AE4"/>
    <mergeCell ref="AB34:AC34"/>
    <mergeCell ref="AB26:AC26"/>
    <mergeCell ref="AB27:AC27"/>
    <mergeCell ref="AB28:AC28"/>
    <mergeCell ref="AB29:AC29"/>
    <mergeCell ref="AB22:AC22"/>
    <mergeCell ref="AB23:AC23"/>
    <mergeCell ref="AB35:AC35"/>
    <mergeCell ref="AB30:AC30"/>
    <mergeCell ref="AB31:AC31"/>
    <mergeCell ref="AB32:AC32"/>
    <mergeCell ref="AB33:AC33"/>
    <mergeCell ref="AB24:AC24"/>
    <mergeCell ref="AB25:AC25"/>
    <mergeCell ref="AB17:AC17"/>
    <mergeCell ref="W29:X29"/>
    <mergeCell ref="W30:X30"/>
    <mergeCell ref="AB18:AC18"/>
    <mergeCell ref="AB19:AC19"/>
    <mergeCell ref="AB20:AC20"/>
    <mergeCell ref="AB21:AC21"/>
    <mergeCell ref="W21:X21"/>
    <mergeCell ref="W22:X22"/>
    <mergeCell ref="W19:X19"/>
    <mergeCell ref="AB11:AC11"/>
    <mergeCell ref="AB12:AC12"/>
    <mergeCell ref="AB13:AC13"/>
    <mergeCell ref="AB14:AC14"/>
    <mergeCell ref="AB15:AC15"/>
    <mergeCell ref="AB16:AC16"/>
    <mergeCell ref="W14:X14"/>
    <mergeCell ref="W15:X15"/>
    <mergeCell ref="W16:X16"/>
    <mergeCell ref="W17:X17"/>
    <mergeCell ref="W18:X18"/>
    <mergeCell ref="W35:X35"/>
    <mergeCell ref="W20:X20"/>
    <mergeCell ref="W25:X25"/>
    <mergeCell ref="W26:X26"/>
    <mergeCell ref="W33:X33"/>
    <mergeCell ref="W34:X34"/>
    <mergeCell ref="W31:X31"/>
    <mergeCell ref="W32:X32"/>
    <mergeCell ref="W23:X23"/>
    <mergeCell ref="W24:X24"/>
    <mergeCell ref="H27:I27"/>
    <mergeCell ref="W27:X27"/>
    <mergeCell ref="W28:X28"/>
    <mergeCell ref="R27:S27"/>
    <mergeCell ref="R28:S28"/>
    <mergeCell ref="H28:I28"/>
    <mergeCell ref="H22:I22"/>
    <mergeCell ref="H23:I23"/>
    <mergeCell ref="H24:I24"/>
    <mergeCell ref="H25:I25"/>
    <mergeCell ref="R23:S23"/>
    <mergeCell ref="R24:S24"/>
    <mergeCell ref="R25:S25"/>
    <mergeCell ref="M23:N23"/>
    <mergeCell ref="M24:N24"/>
    <mergeCell ref="H30:I30"/>
    <mergeCell ref="M28:N28"/>
    <mergeCell ref="R29:S29"/>
    <mergeCell ref="R30:S30"/>
    <mergeCell ref="R31:S31"/>
    <mergeCell ref="R32:S32"/>
    <mergeCell ref="M35:N35"/>
    <mergeCell ref="M34:N34"/>
    <mergeCell ref="R33:S33"/>
    <mergeCell ref="R34:S34"/>
    <mergeCell ref="R35:S35"/>
    <mergeCell ref="H31:I31"/>
    <mergeCell ref="H32:I32"/>
    <mergeCell ref="H33:I33"/>
    <mergeCell ref="C35:D35"/>
    <mergeCell ref="C32:D32"/>
    <mergeCell ref="H34:I34"/>
    <mergeCell ref="H35:I35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C33:D33"/>
    <mergeCell ref="C34:D34"/>
    <mergeCell ref="C27:D27"/>
    <mergeCell ref="C28:D28"/>
    <mergeCell ref="C29:D29"/>
    <mergeCell ref="C30:D30"/>
    <mergeCell ref="C31:D31"/>
    <mergeCell ref="C19:D19"/>
    <mergeCell ref="C26:D26"/>
    <mergeCell ref="V2:X2"/>
    <mergeCell ref="Y2:AE2"/>
    <mergeCell ref="L2:N2"/>
    <mergeCell ref="O2:Q2"/>
    <mergeCell ref="R2:S2"/>
    <mergeCell ref="C15:D15"/>
    <mergeCell ref="C16:D16"/>
    <mergeCell ref="C17:D17"/>
    <mergeCell ref="C18:D18"/>
    <mergeCell ref="X3:AA3"/>
    <mergeCell ref="AB3:AE3"/>
    <mergeCell ref="P3:R3"/>
    <mergeCell ref="AB5:AE5"/>
    <mergeCell ref="Y5:AA5"/>
    <mergeCell ref="J4:T4"/>
    <mergeCell ref="Z10:AD10"/>
    <mergeCell ref="J5:N5"/>
    <mergeCell ref="R21:S21"/>
    <mergeCell ref="R22:S22"/>
    <mergeCell ref="M21:N21"/>
    <mergeCell ref="M22:N22"/>
    <mergeCell ref="R20:S20"/>
    <mergeCell ref="R17:S17"/>
    <mergeCell ref="A5:D5"/>
    <mergeCell ref="E5:G5"/>
    <mergeCell ref="W11:X11"/>
    <mergeCell ref="C20:D20"/>
    <mergeCell ref="C21:D21"/>
    <mergeCell ref="C22:D22"/>
    <mergeCell ref="C23:D23"/>
    <mergeCell ref="C24:D24"/>
    <mergeCell ref="C25:D25"/>
    <mergeCell ref="R18:S18"/>
    <mergeCell ref="A9:A10"/>
    <mergeCell ref="L10:N10"/>
    <mergeCell ref="C12:D12"/>
    <mergeCell ref="H11:I11"/>
    <mergeCell ref="H12:I12"/>
    <mergeCell ref="B10:D10"/>
    <mergeCell ref="M12:N12"/>
    <mergeCell ref="C11:D11"/>
    <mergeCell ref="M14:N14"/>
    <mergeCell ref="C13:D13"/>
    <mergeCell ref="M13:N13"/>
    <mergeCell ref="M32:N32"/>
    <mergeCell ref="M33:N33"/>
    <mergeCell ref="M30:N30"/>
    <mergeCell ref="M31:N31"/>
    <mergeCell ref="K3:M3"/>
    <mergeCell ref="M11:N11"/>
    <mergeCell ref="A3:I3"/>
    <mergeCell ref="A4:I4"/>
    <mergeCell ref="B9:K9"/>
    <mergeCell ref="F10:J10"/>
    <mergeCell ref="A6:I6"/>
    <mergeCell ref="L6:S6"/>
    <mergeCell ref="M27:N27"/>
    <mergeCell ref="R14:S14"/>
    <mergeCell ref="R15:S15"/>
    <mergeCell ref="M17:N17"/>
    <mergeCell ref="M18:N18"/>
    <mergeCell ref="M16:N16"/>
    <mergeCell ref="R19:S19"/>
    <mergeCell ref="R26:S26"/>
    <mergeCell ref="R16:S16"/>
    <mergeCell ref="M19:N19"/>
    <mergeCell ref="M20:N20"/>
    <mergeCell ref="C14:D14"/>
    <mergeCell ref="E2:K2"/>
    <mergeCell ref="T3:U3"/>
    <mergeCell ref="M15:N15"/>
    <mergeCell ref="M29:N29"/>
    <mergeCell ref="M25:N25"/>
    <mergeCell ref="M26:N26"/>
    <mergeCell ref="T2:U2"/>
    <mergeCell ref="L9:U9"/>
    <mergeCell ref="T6:U6"/>
    <mergeCell ref="T5:X5"/>
    <mergeCell ref="V9:AE9"/>
    <mergeCell ref="W12:X12"/>
    <mergeCell ref="W13:X13"/>
    <mergeCell ref="O5:Q5"/>
    <mergeCell ref="J6:K6"/>
    <mergeCell ref="V10:X10"/>
    <mergeCell ref="P10:T10"/>
    <mergeCell ref="X6:AA6"/>
    <mergeCell ref="AB6:AE6"/>
    <mergeCell ref="R11:S11"/>
    <mergeCell ref="R12:S12"/>
    <mergeCell ref="R13:S13"/>
    <mergeCell ref="H29:I29"/>
    <mergeCell ref="H26:I26"/>
  </mergeCells>
  <phoneticPr fontId="2"/>
  <conditionalFormatting sqref="E5:G5 AB6:AE6">
    <cfRule type="expression" dxfId="0" priority="1" stopIfTrue="1">
      <formula>AND(($AB$6&gt;1),($AB$6&lt;&gt;""))</formula>
    </cfRule>
  </conditionalFormatting>
  <dataValidations disablePrompts="1" count="8">
    <dataValidation type="list" imeMode="off" allowBlank="1" showInputMessage="1" showErrorMessage="1" sqref="K3:M3" xr:uid="{002D76CC-2FA7-4BEA-80DF-E53E794AD388}">
      <formula1>"0611,0711,1211,1811"</formula1>
    </dataValidation>
    <dataValidation type="textLength" imeMode="off" operator="lessThanOrEqual" allowBlank="1" showInputMessage="1" showErrorMessage="1" sqref="J4:T4" xr:uid="{F2FAA363-F97A-443C-AC63-754C05DE039E}">
      <formula1>14</formula1>
    </dataValidation>
    <dataValidation type="textLength" imeMode="off" allowBlank="1" showInputMessage="1" showErrorMessage="1" sqref="P3:R3" xr:uid="{620A8300-4655-43F2-BC48-C7677314909C}">
      <formula1>3</formula1>
      <formula2>3</formula2>
    </dataValidation>
    <dataValidation imeMode="hiragana" allowBlank="1" showInputMessage="1" showErrorMessage="1" sqref="Y2:AE2 AB3:AE3" xr:uid="{DC3A7422-BB4C-4BB0-8DE3-CD9FA533988C}"/>
    <dataValidation type="whole" imeMode="off" operator="equal" allowBlank="1" showInputMessage="1" showErrorMessage="1" error="設定値からの変更は制限されています。" sqref="H11:I11 C11:D11" xr:uid="{959C916A-50D0-456A-ACBF-AEB73173E287}">
      <formula1>0</formula1>
    </dataValidation>
    <dataValidation type="custom" imeMode="off" allowBlank="1" showInputMessage="1" showErrorMessage="1" error="小数点第１位までしかシステムに登録できません！_x000a_小数点第２位以降は入力しないでください" sqref="H12:I35 C12:D34" xr:uid="{4A4F8B49-A309-49B9-938E-6B0802D49F80}">
      <formula1>(C12=ROUNDDOWN(C12,1))</formula1>
    </dataValidation>
    <dataValidation type="custom" allowBlank="1" showInputMessage="1" showErrorMessage="1" sqref="E5:G5" xr:uid="{581B33C7-49C5-4A64-9E96-4147B26C1C61}">
      <formula1>(E5=ROUNDDOWN(E5,1))</formula1>
    </dataValidation>
    <dataValidation type="whole" imeMode="off" operator="equal" allowBlank="1" showInputMessage="1" showErrorMessage="1" error="設定値からの変更は制限されています。" sqref="C35:D35" xr:uid="{024FD1D0-8393-4D43-86F3-84A15EF83CBE}">
      <formula1>180</formula1>
    </dataValidation>
  </dataValidations>
  <pageMargins left="0.74803149606299213" right="0.74803149606299213" top="0.78740157480314965" bottom="0.6692913385826772" header="0.51181102362204722" footer="0.35433070866141736"/>
  <pageSetup paperSize="9" orientation="portrait" blackAndWhite="1" r:id="rId1"/>
  <headerFooter alignWithMargins="0">
    <oddFooter>&amp;L公共　アンテナデータ
2026年6月版&amp;R＜最新版帳票掲載箇所＞https://www.arib.or.jp/service/gyomu2-koukyo.html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アンテナデータ</vt:lpstr>
      <vt:lpstr>アンテナデータ!Print_Area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アンテナデータ記入様式</dc:title>
  <dc:creator>一般社団法人電波産業会</dc:creator>
  <cp:lastModifiedBy>arib1123</cp:lastModifiedBy>
  <cp:lastPrinted>2019-04-03T07:11:16Z</cp:lastPrinted>
  <dcterms:created xsi:type="dcterms:W3CDTF">2004-01-26T06:00:00Z</dcterms:created>
  <dcterms:modified xsi:type="dcterms:W3CDTF">2026-06-24T06:04:10Z</dcterms:modified>
</cp:coreProperties>
</file>